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5" activeTab="0"/>
  </bookViews>
  <sheets>
    <sheet name="Planilha " sheetId="1" r:id="rId1"/>
    <sheet name="Cronograma" sheetId="2" r:id="rId2"/>
    <sheet name="BDI" sheetId="3" r:id="rId3"/>
  </sheets>
  <definedNames>
    <definedName name="_xlnm.Print_Area" localSheetId="0">'Planilha '!$A$6:$I$44</definedName>
    <definedName name="_xlnm.Print_Titles" localSheetId="0">'Planilha '!$6:$11</definedName>
    <definedName name="_xlnm.Print_Area" localSheetId="2">'BDI'!$A$1:$E$60</definedName>
    <definedName name="_xlnm.Print_Area" localSheetId="1">'Cronograma'!$A$1:$L$38</definedName>
    <definedName name="_xlnm.Print_Area" localSheetId="0">'Planilha '!$A$1:$I$55</definedName>
    <definedName name="Excel_BuiltIn_Print_Area" localSheetId="2">'BDI'!$A$9:$E$60</definedName>
    <definedName name="Excel_BuiltIn_Print_Area" localSheetId="2">'BDI'!$A$9:$E$60</definedName>
    <definedName name="Excel_BuiltIn_Print_Area" localSheetId="1">'Cronograma'!$A$1:$K$56</definedName>
    <definedName name="Excel_BuiltIn_Print_Area" localSheetId="1">'Cronograma'!$A$1:$G$47</definedName>
    <definedName name="Excel_BuiltIn_Print_Area" localSheetId="0">'Planilha '!$A$1:$I$50</definedName>
    <definedName name="Excel_BuiltIn_Print_Area" localSheetId="0">'Planilha '!$A$1:$I$59</definedName>
    <definedName name="_xlnm.Print_Titles" localSheetId="0">'Planilha '!$6:$11</definedName>
  </definedNames>
  <calcPr fullCalcOnLoad="1"/>
</workbook>
</file>

<file path=xl/sharedStrings.xml><?xml version="1.0" encoding="utf-8"?>
<sst xmlns="http://schemas.openxmlformats.org/spreadsheetml/2006/main" count="189" uniqueCount="142">
  <si>
    <t xml:space="preserve">OBRA: </t>
  </si>
  <si>
    <t>CONTRATAÇÃO DE EMPRESA PARA FORNECIMENTO DE MATERIAL E MÃO DE OBRA PARA RECAPE, ASFALTO E CALÇAMENTO DO ACESSO AO CEMITÉRIO DA POTUNDUVA – DISTRITO DE POTUNDUVA – JAHU/SP</t>
  </si>
  <si>
    <t>LOCAL:</t>
  </si>
  <si>
    <t>DISTRITO DE POTUNDUVA – JAHU/SP</t>
  </si>
  <si>
    <t>BDI:  22,00% S/ DES.</t>
  </si>
  <si>
    <t>PLANILHA ORÇAMENTÁRIA</t>
  </si>
  <si>
    <t>ITEM</t>
  </si>
  <si>
    <t>REFER.</t>
  </si>
  <si>
    <t>CÓDIGO</t>
  </si>
  <si>
    <t>DESCRIÇÃO</t>
  </si>
  <si>
    <t>UNID.</t>
  </si>
  <si>
    <t>QTDE.</t>
  </si>
  <si>
    <t>UNITÁRIO S/BDI</t>
  </si>
  <si>
    <t>UNITÁRIO C/BDI</t>
  </si>
  <si>
    <t>TOTAL</t>
  </si>
  <si>
    <t>SERVIÇOS PRELIMINARES</t>
  </si>
  <si>
    <t>1.1</t>
  </si>
  <si>
    <t>CDHU</t>
  </si>
  <si>
    <t>02.08.040</t>
  </si>
  <si>
    <t>PLACA EM LONA COM IMPRESSÃO DIGITAL E REQUADRO EM METALON</t>
  </si>
  <si>
    <t>M2</t>
  </si>
  <si>
    <t>1.2</t>
  </si>
  <si>
    <t>02.01.180</t>
  </si>
  <si>
    <t>BANHEIRO QUÍMICO COM MANUTENÇÃO CONFORME EXIGÊNCIAS DA CETESB</t>
  </si>
  <si>
    <t>UNXMÊS</t>
  </si>
  <si>
    <t>1.3</t>
  </si>
  <si>
    <t>02.02.160</t>
  </si>
  <si>
    <t xml:space="preserve">LOCAÇÃO DE CONTAINER PARA ESCRITÓRIO E DEPÓSITO – ÁREA DE 4,60M² </t>
  </si>
  <si>
    <t>SUBTOTAL 1.00 C/ BDI</t>
  </si>
  <si>
    <t>TERRAPLENAGEM E PAVIMENTAÇÃO</t>
  </si>
  <si>
    <t>2.1</t>
  </si>
  <si>
    <t>03.07.050</t>
  </si>
  <si>
    <t>FRESAGEM DE PAVIMENTO ASFÁLTICO COM ESPESSURA ATÉ 5 CM, INCLUSIVE CARREGAMENTO, TRANSPORTE ATÉ 1 QUILÔMETRO E DESCARREGAMENTO</t>
  </si>
  <si>
    <t>2.2</t>
  </si>
  <si>
    <t>54.01.400</t>
  </si>
  <si>
    <t>ABERTURA DE CAIXA ATÉ 25CM, INCLUI ESCAVAÇÃO, COMPACTAÇÃO, TRANSPORTE E PREPARO DO SUB-LEITO</t>
  </si>
  <si>
    <t>2.3</t>
  </si>
  <si>
    <t>54.01.210</t>
  </si>
  <si>
    <t>BASE DE BRITA GRADUADA (20CM)</t>
  </si>
  <si>
    <t>M3</t>
  </si>
  <si>
    <t>2.4</t>
  </si>
  <si>
    <t>54.06.020</t>
  </si>
  <si>
    <t>GUIA PRÉ-MOLDADA CURVA TIPO PMSP 100 - FCK 25 MPA</t>
  </si>
  <si>
    <t>M</t>
  </si>
  <si>
    <t>2.5</t>
  </si>
  <si>
    <t>54.06.040</t>
  </si>
  <si>
    <t>GUIA PRÉ-MOLDADA RETA TIPO PMSP 100 - FCK 25 MPA</t>
  </si>
  <si>
    <t>2.6</t>
  </si>
  <si>
    <t>54.03.240</t>
  </si>
  <si>
    <t>IMPRIMAÇÃO BETUMINOSA IMPERMEABILIZANTE</t>
  </si>
  <si>
    <t>2.7</t>
  </si>
  <si>
    <t>54.03.230</t>
  </si>
  <si>
    <t>IMPRIMAÇÃO BETUMINOSA LIGANTE</t>
  </si>
  <si>
    <t>2.8</t>
  </si>
  <si>
    <t>54.03.210</t>
  </si>
  <si>
    <t>CAMADA DE ROLAMENTO EM CONCRETO BETUMINOSO USINADO A QUENTE – CBUQ – ESPESSURA DO PAVIMENTO = 4CM</t>
  </si>
  <si>
    <t>2.9</t>
  </si>
  <si>
    <t>54.06.170</t>
  </si>
  <si>
    <t>SARJETA OU SARJETÃO MOLDADO NO LOCAL, TIPO PMSP EM CONCRETO FCK 25 MPA</t>
  </si>
  <si>
    <t>SUBTOTAL 2.00 C/ BDI</t>
  </si>
  <si>
    <t>PASSEIO PÚBLICO</t>
  </si>
  <si>
    <t>3.1</t>
  </si>
  <si>
    <t>34.01.010</t>
  </si>
  <si>
    <t>TERRA VEGETAL ORGÂNICA COMUM</t>
  </si>
  <si>
    <t>3.2</t>
  </si>
  <si>
    <t>06.12.020</t>
  </si>
  <si>
    <t>ATERRO MANUAL SEM FORNECIMENTO DE MATERIAL</t>
  </si>
  <si>
    <t>3.3</t>
  </si>
  <si>
    <t>11.04.040</t>
  </si>
  <si>
    <t>CONCRETO NÃO ESTRUTURAL EXECUTADO NO LOCAL, MÍNIMO 200 KG/M³</t>
  </si>
  <si>
    <t>3.4</t>
  </si>
  <si>
    <t>11.16.220</t>
  </si>
  <si>
    <t>NIVELAMENTO DE PISO EM CONCRETO COM ACABADORA DE SUPERFÍCIE</t>
  </si>
  <si>
    <t>3.5</t>
  </si>
  <si>
    <t>11.20.050</t>
  </si>
  <si>
    <t>CORTE DE JUNTA DE DILATAÇÃO, COM SERRA DE DISCO DIAMANTADO PARA PISOS</t>
  </si>
  <si>
    <t>SUBTOTAL 3.00 C/ BDI</t>
  </si>
  <si>
    <t>4.00</t>
  </si>
  <si>
    <t>SINALIZAÇÃO</t>
  </si>
  <si>
    <t>4.1</t>
  </si>
  <si>
    <t>70.02.022</t>
  </si>
  <si>
    <t>SINALIZAÇÃO HORIZONTAL EM TINTA A BASE DE RESINA ACRÍLICA EMULSIONADA EM ÁGUA</t>
  </si>
  <si>
    <t>4.2</t>
  </si>
  <si>
    <t>70.03.010</t>
  </si>
  <si>
    <t>PLACA PARA SINALIZAÇÃO VIÁRIA EM ALUMÍNIO COMPOSTO, TOTALMENTE REFLETIVA COM PELÍCULA IA/IA - ÁREA ATÉ 2,0 M²</t>
  </si>
  <si>
    <t>SUBTOTAL 4.00 C/ BDI</t>
  </si>
  <si>
    <t>TOTAL GERAL C/ BDI</t>
  </si>
  <si>
    <t>OBRA: CONTRATAÇÃO DE EMPRESA PARA FORNECIMENTO DE MATERIAL E MÃO DE OBRA PARA RECAPE, ASFALTO E CALÇAMENTO DO ACESSO AO CEMITÉRIO DA POTUNDUVA – DISTRITO DE POTUNDUVA – JAHU/SP</t>
  </si>
  <si>
    <t>LOCAL: DISTRITO DE POTUNDUVA – JAHU/SP</t>
  </si>
  <si>
    <t xml:space="preserve">CRONOGRAMA FÍSICO-FINANCEIRO  </t>
  </si>
  <si>
    <t>VALOR EM R$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</si>
  <si>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</si>
  <si>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</si>
  <si>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</si>
  <si>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</si>
  <si>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</si>
  <si>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</si>
  <si>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</si>
  <si>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</si>
  <si>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-</t>
  </si>
  <si>
    <t>TOTAL DO MÊS  EM REAIS</t>
  </si>
  <si>
    <t>TOTAL DO MÊS EM %</t>
  </si>
  <si>
    <t>TOTAL ACUMUALDO EM REAIS</t>
  </si>
  <si>
    <t>TOTAL ACUMULADO EM %</t>
  </si>
  <si>
    <t>COMPOSIÇÃO ANALÍTICA DO BDI - RODOVIAS E FERROVIAS</t>
  </si>
  <si>
    <t>VALORES DE BDI POR TIPO DE OBRA %</t>
  </si>
  <si>
    <t>TIPO DE OBRA</t>
  </si>
  <si>
    <t>1 Quartil</t>
  </si>
  <si>
    <t>Médio</t>
  </si>
  <si>
    <t>3 Quartil</t>
  </si>
  <si>
    <t>Construção de Rodovias e Ferrovias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</si>
  <si>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</si>
  <si>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</si>
  <si>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</si>
  <si>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</si>
  <si>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</si>
  <si>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</si>
  <si>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</si>
  <si>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</si>
  <si>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</si>
  <si>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</si>
  <si>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t>Tributos (soma dos itens abaixo)</t>
  </si>
  <si>
    <t>COFINS</t>
  </si>
  <si>
    <t>PIS</t>
  </si>
  <si>
    <t>ISSQN (**)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</si>
  <si>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</si>
  <si>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</si>
  <si>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</si>
  <si>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</si>
  <si>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</si>
  <si>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</si>
  <si>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</si>
  <si>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</si>
  <si>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</si>
  <si>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</si>
  <si>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</si>
  <si>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r>
      <t xml:space="preserve">Conforme esse Acórdão, o valor final do BDI também deverá obedecer à faixa de variação abaixo, considerando os custos dos serviços </t>
    </r>
    <r>
      <rPr>
        <b/>
        <sz val="12"/>
        <rFont val="Arial"/>
        <family val="2"/>
      </rPr>
      <t>sem desoneração</t>
    </r>
    <r>
      <rPr>
        <sz val="12"/>
        <rFont val="Arial"/>
        <family val="2"/>
      </rPr>
      <t xml:space="preserve"> dos encargos sociais:</t>
    </r>
  </si>
  <si>
    <t>VALORES DE BDI POR TIPO DE OBRA</t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</si>
  <si>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 xml:space="preserve">, deverá ser incluído no item taxa de tributos o percentual de </t>
    </r>
    <r>
      <rPr>
        <b/>
        <sz val="12"/>
        <color indexed="8"/>
        <rFont val="Arial"/>
        <family val="2"/>
      </rPr>
      <t>4,5%</t>
    </r>
    <r>
      <rPr>
        <sz val="12"/>
        <color indexed="8"/>
        <rFont val="Arial"/>
        <family val="2"/>
      </rPr>
      <t xml:space="preserve"> referente à contribuição previdenciária e recalculado o BDI. </t>
    </r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</si>
  <si>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</si>
  <si>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r>
      <t>Tributos (</t>
    </r>
    <r>
      <rPr>
        <b/>
        <i/>
        <sz val="12"/>
        <rFont val="Arial"/>
        <family val="2"/>
      </rPr>
      <t>Confins, PIS e ISSQN) + 4,5% INSS</t>
    </r>
  </si>
  <si>
    <t>FONTE:  CDHU 188 11/2022 S/ DES.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</si>
</sst>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.0%"/>
    <numFmt numFmtId="167" formatCode="&quot;R$ &quot;#,##0.00;[Red]&quot;R$ &quot;#,##0.00"/>
    <numFmt numFmtId="168" formatCode="#,##0.00\ ;&quot; (&quot;#,##0.00\);&quot; -&quot;#\ ;@\ 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>
      <alignment/>
      <protection/>
    </xf>
    <xf numFmtId="0" fontId="26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0" fontId="0" fillId="0" borderId="0" applyBorder="0" applyProtection="0">
      <alignment/>
    </xf>
    <xf numFmtId="0" fontId="0" fillId="31" borderId="4" applyNumberFormat="0" applyFont="0" applyAlignment="0" applyProtection="0"/>
    <xf numFmtId="9" fontId="1" fillId="0" borderId="0">
      <alignment/>
      <protection/>
    </xf>
    <xf numFmtId="0" fontId="51" fillId="32" borderId="0" applyNumberFormat="0" applyBorder="0" applyAlignment="0" applyProtection="0"/>
    <xf numFmtId="0" fontId="52" fillId="21" borderId="5" applyNumberFormat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4" fontId="1" fillId="0" borderId="0">
      <alignment/>
      <protection/>
    </xf>
  </cellStyleXfs>
  <cellXfs count="185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2" fillId="0" borderId="0" xfId="44" applyFont="1" applyAlignment="1">
      <alignment horizontal="justify" vertical="center" wrapText="1"/>
      <protection/>
    </xf>
    <xf numFmtId="164" fontId="2" fillId="0" borderId="0" xfId="63" applyFont="1" applyFill="1" applyBorder="1" applyAlignment="1" applyProtection="1">
      <alignment horizontal="center" vertical="center" wrapText="1"/>
      <protection/>
    </xf>
    <xf numFmtId="4" fontId="2" fillId="0" borderId="0" xfId="44" applyNumberFormat="1" applyFont="1" applyAlignment="1">
      <alignment horizontal="center" vertical="center" wrapText="1"/>
      <protection/>
    </xf>
    <xf numFmtId="0" fontId="2" fillId="0" borderId="0" xfId="44" applyFont="1" applyAlignment="1">
      <alignment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justify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justify" vertical="center" wrapText="1"/>
      <protection/>
    </xf>
    <xf numFmtId="4" fontId="2" fillId="0" borderId="0" xfId="63" applyNumberFormat="1" applyFont="1" applyFill="1" applyBorder="1" applyAlignment="1" applyProtection="1">
      <alignment horizontal="center" vertical="center" wrapText="1"/>
      <protection/>
    </xf>
    <xf numFmtId="10" fontId="2" fillId="0" borderId="0" xfId="44" applyNumberFormat="1" applyFont="1" applyAlignment="1">
      <alignment vertical="center" wrapText="1"/>
      <protection/>
    </xf>
    <xf numFmtId="0" fontId="6" fillId="0" borderId="0" xfId="44" applyFont="1" applyAlignment="1">
      <alignment vertical="center" wrapText="1"/>
      <protection/>
    </xf>
    <xf numFmtId="4" fontId="8" fillId="0" borderId="0" xfId="44" applyNumberFormat="1" applyFont="1" applyAlignment="1">
      <alignment horizontal="center" vertical="center" wrapText="1"/>
      <protection/>
    </xf>
    <xf numFmtId="0" fontId="8" fillId="0" borderId="0" xfId="44" applyFont="1" applyAlignment="1">
      <alignment vertical="center" wrapText="1"/>
      <protection/>
    </xf>
    <xf numFmtId="0" fontId="10" fillId="0" borderId="0" xfId="44" applyFont="1" applyAlignment="1">
      <alignment vertical="center" wrapText="1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justify" vertical="center" wrapText="1"/>
      <protection/>
    </xf>
    <xf numFmtId="0" fontId="7" fillId="0" borderId="0" xfId="44" applyFont="1" applyAlignment="1">
      <alignment horizontal="center"/>
      <protection/>
    </xf>
    <xf numFmtId="0" fontId="0" fillId="0" borderId="0" xfId="44" applyFont="1">
      <alignment/>
      <protection/>
    </xf>
    <xf numFmtId="164" fontId="0" fillId="0" borderId="0" xfId="63" applyFont="1" applyFill="1" applyBorder="1" applyAlignment="1" applyProtection="1">
      <alignment horizontal="center"/>
      <protection/>
    </xf>
    <xf numFmtId="0" fontId="0" fillId="0" borderId="0" xfId="44" applyFont="1" applyAlignment="1">
      <alignment horizontal="center"/>
      <protection/>
    </xf>
    <xf numFmtId="0" fontId="0" fillId="0" borderId="0" xfId="44" applyFont="1" applyAlignment="1">
      <alignment vertical="center"/>
      <protection/>
    </xf>
    <xf numFmtId="0" fontId="14" fillId="0" borderId="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7" fillId="0" borderId="0" xfId="44" applyFont="1" applyBorder="1">
      <alignment/>
      <protection/>
    </xf>
    <xf numFmtId="0" fontId="7" fillId="0" borderId="0" xfId="44" applyFont="1">
      <alignment/>
      <protection/>
    </xf>
    <xf numFmtId="0" fontId="0" fillId="0" borderId="0" xfId="44" applyFont="1" applyBorder="1">
      <alignment/>
      <protection/>
    </xf>
    <xf numFmtId="0" fontId="0" fillId="0" borderId="0" xfId="44" applyFont="1" applyAlignment="1">
      <alignment horizontal="right"/>
      <protection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19" fillId="0" borderId="0" xfId="0" applyFont="1" applyAlignment="1">
      <alignment horizontal="justify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6" fillId="0" borderId="11" xfId="44" applyFont="1" applyBorder="1" applyAlignment="1">
      <alignment horizontal="right" vertical="center" wrapText="1"/>
      <protection/>
    </xf>
    <xf numFmtId="0" fontId="2" fillId="0" borderId="11" xfId="44" applyFont="1" applyBorder="1" applyAlignment="1">
      <alignment horizontal="justify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164" fontId="2" fillId="0" borderId="11" xfId="63" applyFont="1" applyFill="1" applyBorder="1" applyAlignment="1" applyProtection="1">
      <alignment horizontal="center" vertical="center" wrapText="1"/>
      <protection/>
    </xf>
    <xf numFmtId="0" fontId="6" fillId="34" borderId="11" xfId="44" applyFont="1" applyFill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justify" vertical="center" wrapText="1"/>
      <protection/>
    </xf>
    <xf numFmtId="164" fontId="6" fillId="34" borderId="11" xfId="63" applyFont="1" applyFill="1" applyBorder="1" applyAlignment="1" applyProtection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164" fontId="2" fillId="0" borderId="11" xfId="63" applyFont="1" applyBorder="1" applyAlignment="1">
      <alignment horizontal="right" vertical="center" wrapText="1"/>
      <protection/>
    </xf>
    <xf numFmtId="164" fontId="2" fillId="0" borderId="11" xfId="63" applyFont="1" applyFill="1" applyBorder="1" applyAlignment="1" applyProtection="1">
      <alignment horizontal="right" vertical="center" wrapText="1"/>
      <protection/>
    </xf>
    <xf numFmtId="164" fontId="6" fillId="34" borderId="11" xfId="63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44" applyFont="1" applyFill="1" applyBorder="1" applyAlignment="1">
      <alignment horizontal="center" vertical="center" wrapText="1"/>
      <protection/>
    </xf>
    <xf numFmtId="164" fontId="0" fillId="0" borderId="11" xfId="63" applyFont="1" applyFill="1" applyBorder="1" applyAlignment="1" applyProtection="1">
      <alignment horizontal="center" vertical="center" wrapText="1"/>
      <protection/>
    </xf>
    <xf numFmtId="165" fontId="6" fillId="34" borderId="12" xfId="63" applyNumberFormat="1" applyFont="1" applyFill="1" applyBorder="1" applyAlignment="1" applyProtection="1">
      <alignment horizontal="right" vertical="center" wrapText="1"/>
      <protection/>
    </xf>
    <xf numFmtId="0" fontId="6" fillId="34" borderId="13" xfId="44" applyFont="1" applyFill="1" applyBorder="1" applyAlignment="1">
      <alignment horizontal="center" vertical="center" wrapText="1"/>
      <protection/>
    </xf>
    <xf numFmtId="0" fontId="6" fillId="34" borderId="14" xfId="44" applyFont="1" applyFill="1" applyBorder="1" applyAlignment="1">
      <alignment horizontal="center" vertical="center" wrapText="1"/>
      <protection/>
    </xf>
    <xf numFmtId="164" fontId="6" fillId="34" borderId="12" xfId="63" applyFont="1" applyFill="1" applyBorder="1" applyAlignment="1" applyProtection="1">
      <alignment horizontal="right" vertical="center" wrapText="1"/>
      <protection/>
    </xf>
    <xf numFmtId="0" fontId="2" fillId="0" borderId="15" xfId="44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justify" vertical="center" wrapText="1"/>
    </xf>
    <xf numFmtId="164" fontId="2" fillId="0" borderId="15" xfId="63" applyFont="1" applyFill="1" applyBorder="1" applyAlignment="1" applyProtection="1">
      <alignment horizontal="center" vertical="center" wrapText="1"/>
      <protection/>
    </xf>
    <xf numFmtId="164" fontId="2" fillId="0" borderId="15" xfId="63" applyFont="1" applyBorder="1" applyAlignment="1">
      <alignment horizontal="right" vertical="center" wrapText="1"/>
      <protection/>
    </xf>
    <xf numFmtId="0" fontId="2" fillId="34" borderId="13" xfId="44" applyFont="1" applyFill="1" applyBorder="1" applyAlignment="1">
      <alignment horizontal="center" vertical="center" wrapText="1"/>
      <protection/>
    </xf>
    <xf numFmtId="0" fontId="2" fillId="34" borderId="14" xfId="44" applyFont="1" applyFill="1" applyBorder="1" applyAlignment="1">
      <alignment horizontal="center" vertical="center" wrapText="1"/>
      <protection/>
    </xf>
    <xf numFmtId="0" fontId="2" fillId="0" borderId="15" xfId="44" applyFont="1" applyBorder="1" applyAlignment="1">
      <alignment horizontal="center" vertical="center" wrapText="1"/>
      <protection/>
    </xf>
    <xf numFmtId="164" fontId="0" fillId="0" borderId="15" xfId="63" applyFont="1" applyFill="1" applyBorder="1" applyAlignment="1" applyProtection="1">
      <alignment horizontal="center" vertical="center" wrapText="1"/>
      <protection/>
    </xf>
    <xf numFmtId="0" fontId="0" fillId="0" borderId="15" xfId="44" applyFont="1" applyFill="1" applyBorder="1" applyAlignment="1">
      <alignment horizontal="center" vertical="center" wrapText="1"/>
      <protection/>
    </xf>
    <xf numFmtId="0" fontId="2" fillId="0" borderId="15" xfId="44" applyFont="1" applyBorder="1" applyAlignment="1">
      <alignment horizontal="justify" vertical="center" wrapText="1"/>
      <protection/>
    </xf>
    <xf numFmtId="0" fontId="6" fillId="34" borderId="16" xfId="44" applyFont="1" applyFill="1" applyBorder="1" applyAlignment="1">
      <alignment horizontal="center" vertical="center" wrapText="1"/>
      <protection/>
    </xf>
    <xf numFmtId="0" fontId="6" fillId="34" borderId="17" xfId="44" applyFont="1" applyFill="1" applyBorder="1" applyAlignment="1">
      <alignment horizontal="center" vertical="center" wrapText="1"/>
      <protection/>
    </xf>
    <xf numFmtId="164" fontId="6" fillId="34" borderId="18" xfId="63" applyFont="1" applyFill="1" applyBorder="1" applyAlignment="1" applyProtection="1">
      <alignment horizontal="right" vertical="center" wrapText="1"/>
      <protection/>
    </xf>
    <xf numFmtId="0" fontId="6" fillId="34" borderId="19" xfId="44" applyFont="1" applyFill="1" applyBorder="1" applyAlignment="1">
      <alignment horizontal="center" vertical="center" wrapText="1"/>
      <protection/>
    </xf>
    <xf numFmtId="0" fontId="6" fillId="34" borderId="19" xfId="44" applyFont="1" applyFill="1" applyBorder="1" applyAlignment="1">
      <alignment horizontal="justify" vertical="center" wrapText="1"/>
      <protection/>
    </xf>
    <xf numFmtId="164" fontId="6" fillId="34" borderId="19" xfId="63" applyFont="1" applyFill="1" applyBorder="1" applyAlignment="1" applyProtection="1">
      <alignment horizontal="center" vertical="center" wrapText="1"/>
      <protection/>
    </xf>
    <xf numFmtId="164" fontId="6" fillId="34" borderId="19" xfId="63" applyFont="1" applyFill="1" applyBorder="1" applyAlignment="1" applyProtection="1">
      <alignment horizontal="right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justify" vertical="center" wrapText="1"/>
      <protection/>
    </xf>
    <xf numFmtId="164" fontId="6" fillId="0" borderId="14" xfId="63" applyFont="1" applyFill="1" applyBorder="1" applyAlignment="1" applyProtection="1">
      <alignment horizontal="center" vertical="center" wrapText="1"/>
      <protection/>
    </xf>
    <xf numFmtId="164" fontId="6" fillId="0" borderId="14" xfId="63" applyFont="1" applyFill="1" applyBorder="1" applyAlignment="1" applyProtection="1">
      <alignment horizontal="right" vertical="center" wrapText="1"/>
      <protection/>
    </xf>
    <xf numFmtId="164" fontId="6" fillId="0" borderId="12" xfId="63" applyFont="1" applyFill="1" applyBorder="1" applyAlignment="1" applyProtection="1">
      <alignment horizontal="right" vertical="center" wrapText="1"/>
      <protection/>
    </xf>
    <xf numFmtId="0" fontId="6" fillId="35" borderId="13" xfId="44" applyFont="1" applyFill="1" applyBorder="1" applyAlignment="1">
      <alignment horizontal="center" vertical="center" wrapText="1"/>
      <protection/>
    </xf>
    <xf numFmtId="0" fontId="6" fillId="35" borderId="14" xfId="44" applyFont="1" applyFill="1" applyBorder="1" applyAlignment="1">
      <alignment horizontal="center" vertical="center" wrapText="1"/>
      <protection/>
    </xf>
    <xf numFmtId="0" fontId="9" fillId="0" borderId="15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/>
      <protection/>
    </xf>
    <xf numFmtId="0" fontId="7" fillId="34" borderId="11" xfId="44" applyFont="1" applyFill="1" applyBorder="1" applyAlignment="1">
      <alignment horizontal="center"/>
      <protection/>
    </xf>
    <xf numFmtId="164" fontId="7" fillId="34" borderId="11" xfId="63" applyFont="1" applyFill="1" applyBorder="1" applyAlignment="1" applyProtection="1">
      <alignment horizontal="center"/>
      <protection/>
    </xf>
    <xf numFmtId="0" fontId="7" fillId="36" borderId="11" xfId="44" applyFont="1" applyFill="1" applyBorder="1" applyAlignment="1">
      <alignment horizontal="center"/>
      <protection/>
    </xf>
    <xf numFmtId="164" fontId="0" fillId="0" borderId="11" xfId="63" applyFont="1" applyFill="1" applyBorder="1" applyAlignment="1" applyProtection="1">
      <alignment horizontal="center" vertical="center"/>
      <protection/>
    </xf>
    <xf numFmtId="164" fontId="0" fillId="0" borderId="11" xfId="44" applyNumberFormat="1" applyFont="1" applyBorder="1" applyAlignment="1">
      <alignment horizontal="center" vertical="center" wrapText="1"/>
      <protection/>
    </xf>
    <xf numFmtId="10" fontId="15" fillId="0" borderId="11" xfId="44" applyNumberFormat="1" applyFont="1" applyFill="1" applyBorder="1" applyAlignment="1">
      <alignment horizontal="center" vertical="center"/>
      <protection/>
    </xf>
    <xf numFmtId="164" fontId="0" fillId="0" borderId="11" xfId="44" applyNumberFormat="1" applyFont="1" applyFill="1" applyBorder="1" applyAlignment="1">
      <alignment horizontal="center" vertical="center" wrapText="1"/>
      <protection/>
    </xf>
    <xf numFmtId="164" fontId="0" fillId="0" borderId="11" xfId="44" applyNumberFormat="1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/>
      <protection/>
    </xf>
    <xf numFmtId="10" fontId="0" fillId="0" borderId="11" xfId="44" applyNumberFormat="1" applyFont="1" applyFill="1" applyBorder="1" applyAlignment="1">
      <alignment horizontal="center" vertical="center"/>
      <protection/>
    </xf>
    <xf numFmtId="164" fontId="0" fillId="0" borderId="11" xfId="44" applyNumberFormat="1" applyFont="1" applyFill="1" applyBorder="1" applyAlignment="1">
      <alignment horizontal="center" vertical="center"/>
      <protection/>
    </xf>
    <xf numFmtId="164" fontId="0" fillId="0" borderId="11" xfId="44" applyNumberFormat="1" applyFont="1" applyBorder="1" applyAlignment="1">
      <alignment horizontal="center" vertical="center"/>
      <protection/>
    </xf>
    <xf numFmtId="164" fontId="0" fillId="0" borderId="11" xfId="44" applyNumberFormat="1" applyFont="1" applyBorder="1" applyAlignment="1">
      <alignment horizontal="center"/>
      <protection/>
    </xf>
    <xf numFmtId="10" fontId="15" fillId="0" borderId="11" xfId="51" applyNumberFormat="1" applyFont="1" applyFill="1" applyBorder="1" applyAlignment="1" applyProtection="1">
      <alignment horizontal="center" vertical="center"/>
      <protection/>
    </xf>
    <xf numFmtId="10" fontId="0" fillId="0" borderId="11" xfId="51" applyNumberFormat="1" applyFont="1" applyFill="1" applyBorder="1" applyAlignment="1" applyProtection="1">
      <alignment horizontal="center"/>
      <protection/>
    </xf>
    <xf numFmtId="166" fontId="15" fillId="0" borderId="11" xfId="51" applyNumberFormat="1" applyFont="1" applyFill="1" applyBorder="1" applyAlignment="1" applyProtection="1">
      <alignment horizontal="center" vertical="center"/>
      <protection/>
    </xf>
    <xf numFmtId="0" fontId="7" fillId="0" borderId="0" xfId="44" applyFont="1" applyBorder="1" applyAlignment="1">
      <alignment horizontal="center"/>
      <protection/>
    </xf>
    <xf numFmtId="0" fontId="0" fillId="0" borderId="0" xfId="44" applyFont="1" applyBorder="1" applyAlignment="1">
      <alignment horizontal="center"/>
      <protection/>
    </xf>
    <xf numFmtId="0" fontId="0" fillId="0" borderId="20" xfId="44" applyFont="1" applyBorder="1" applyAlignment="1">
      <alignment horizontal="center"/>
      <protection/>
    </xf>
    <xf numFmtId="0" fontId="0" fillId="0" borderId="19" xfId="44" applyFont="1" applyBorder="1">
      <alignment/>
      <protection/>
    </xf>
    <xf numFmtId="0" fontId="14" fillId="0" borderId="21" xfId="44" applyFont="1" applyBorder="1" applyAlignment="1">
      <alignment horizontal="center" vertical="center"/>
      <protection/>
    </xf>
    <xf numFmtId="164" fontId="0" fillId="34" borderId="12" xfId="63" applyFont="1" applyFill="1" applyBorder="1" applyAlignment="1" applyProtection="1">
      <alignment horizontal="center" vertical="center"/>
      <protection/>
    </xf>
    <xf numFmtId="0" fontId="7" fillId="0" borderId="16" xfId="44" applyFont="1" applyBorder="1" applyAlignment="1">
      <alignment horizontal="center"/>
      <protection/>
    </xf>
    <xf numFmtId="0" fontId="0" fillId="0" borderId="18" xfId="44" applyFont="1" applyBorder="1">
      <alignment/>
      <protection/>
    </xf>
    <xf numFmtId="0" fontId="7" fillId="34" borderId="13" xfId="44" applyFont="1" applyFill="1" applyBorder="1" applyAlignment="1">
      <alignment horizontal="center"/>
      <protection/>
    </xf>
    <xf numFmtId="0" fontId="0" fillId="34" borderId="12" xfId="44" applyFont="1" applyFill="1" applyBorder="1" applyAlignment="1">
      <alignment horizontal="right"/>
      <protection/>
    </xf>
    <xf numFmtId="164" fontId="7" fillId="0" borderId="14" xfId="63" applyFont="1" applyFill="1" applyBorder="1" applyAlignment="1" applyProtection="1">
      <alignment horizontal="center" vertical="center"/>
      <protection/>
    </xf>
    <xf numFmtId="0" fontId="0" fillId="0" borderId="12" xfId="44" applyFont="1" applyFill="1" applyBorder="1" applyAlignment="1">
      <alignment horizontal="center"/>
      <protection/>
    </xf>
    <xf numFmtId="10" fontId="15" fillId="0" borderId="15" xfId="44" applyNumberFormat="1" applyFont="1" applyFill="1" applyBorder="1" applyAlignment="1">
      <alignment horizontal="center" vertical="center"/>
      <protection/>
    </xf>
    <xf numFmtId="164" fontId="0" fillId="0" borderId="19" xfId="44" applyNumberFormat="1" applyFont="1" applyBorder="1" applyAlignment="1">
      <alignment horizontal="center" vertical="center"/>
      <protection/>
    </xf>
    <xf numFmtId="0" fontId="0" fillId="0" borderId="13" xfId="44" applyFont="1" applyFill="1" applyBorder="1" applyAlignment="1">
      <alignment horizontal="center" vertical="center"/>
      <protection/>
    </xf>
    <xf numFmtId="0" fontId="0" fillId="0" borderId="14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14" fillId="33" borderId="11" xfId="0" applyFont="1" applyFill="1" applyBorder="1" applyAlignment="1">
      <alignment wrapText="1"/>
    </xf>
    <xf numFmtId="2" fontId="22" fillId="0" borderId="11" xfId="0" applyNumberFormat="1" applyFont="1" applyBorder="1" applyAlignment="1">
      <alignment wrapText="1"/>
    </xf>
    <xf numFmtId="0" fontId="17" fillId="0" borderId="11" xfId="0" applyFont="1" applyBorder="1" applyAlignment="1">
      <alignment/>
    </xf>
    <xf numFmtId="2" fontId="25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10" fontId="19" fillId="0" borderId="11" xfId="0" applyNumberFormat="1" applyFont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2" fontId="21" fillId="0" borderId="11" xfId="0" applyNumberFormat="1" applyFont="1" applyBorder="1" applyAlignment="1">
      <alignment wrapText="1"/>
    </xf>
    <xf numFmtId="2" fontId="21" fillId="33" borderId="11" xfId="0" applyNumberFormat="1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164" fontId="2" fillId="0" borderId="0" xfId="63" applyFont="1" applyFill="1" applyBorder="1" applyAlignment="1" applyProtection="1">
      <alignment horizontal="right" vertical="center" wrapText="1"/>
      <protection/>
    </xf>
    <xf numFmtId="0" fontId="2" fillId="0" borderId="13" xfId="44" applyFont="1" applyBorder="1" applyAlignment="1">
      <alignment horizontal="center" vertical="center" wrapText="1"/>
      <protection/>
    </xf>
    <xf numFmtId="0" fontId="2" fillId="0" borderId="14" xfId="44" applyFont="1" applyBorder="1" applyAlignment="1">
      <alignment horizontal="center" vertical="center" wrapText="1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6" fillId="0" borderId="22" xfId="44" applyFont="1" applyBorder="1" applyAlignment="1">
      <alignment horizontal="center" vertical="center" wrapText="1"/>
      <protection/>
    </xf>
    <xf numFmtId="0" fontId="6" fillId="0" borderId="23" xfId="44" applyFont="1" applyBorder="1" applyAlignment="1">
      <alignment horizontal="center"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0" borderId="22" xfId="44" applyFont="1" applyFill="1" applyBorder="1" applyAlignment="1">
      <alignment horizontal="center" vertical="center" wrapText="1"/>
      <protection/>
    </xf>
    <xf numFmtId="0" fontId="6" fillId="0" borderId="23" xfId="44" applyFont="1" applyFill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center" vertical="center" wrapText="1"/>
      <protection/>
    </xf>
    <xf numFmtId="0" fontId="6" fillId="0" borderId="24" xfId="44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center" vertical="center" wrapText="1"/>
      <protection/>
    </xf>
    <xf numFmtId="0" fontId="6" fillId="34" borderId="14" xfId="44" applyFont="1" applyFill="1" applyBorder="1" applyAlignment="1">
      <alignment horizontal="right" vertical="center" wrapText="1"/>
      <protection/>
    </xf>
    <xf numFmtId="0" fontId="6" fillId="34" borderId="12" xfId="44" applyFont="1" applyFill="1" applyBorder="1" applyAlignment="1">
      <alignment horizontal="right" vertical="center" wrapText="1"/>
      <protection/>
    </xf>
    <xf numFmtId="0" fontId="6" fillId="34" borderId="17" xfId="44" applyFont="1" applyFill="1" applyBorder="1" applyAlignment="1">
      <alignment horizontal="right" vertical="center" wrapText="1"/>
      <protection/>
    </xf>
    <xf numFmtId="0" fontId="6" fillId="34" borderId="18" xfId="44" applyFont="1" applyFill="1" applyBorder="1" applyAlignment="1">
      <alignment horizontal="right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justify" vertical="center" wrapText="1"/>
      <protection/>
    </xf>
    <xf numFmtId="0" fontId="7" fillId="0" borderId="11" xfId="0" applyFont="1" applyBorder="1" applyAlignment="1">
      <alignment horizontal="center" vertical="center"/>
    </xf>
    <xf numFmtId="0" fontId="2" fillId="0" borderId="11" xfId="44" applyFont="1" applyBorder="1" applyAlignment="1">
      <alignment horizontal="justify" vertical="center" wrapText="1"/>
      <protection/>
    </xf>
    <xf numFmtId="0" fontId="7" fillId="0" borderId="11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left" vertical="center" wrapText="1"/>
      <protection/>
    </xf>
    <xf numFmtId="0" fontId="7" fillId="0" borderId="15" xfId="44" applyFont="1" applyBorder="1" applyAlignment="1">
      <alignment horizontal="center" vertical="center"/>
      <protection/>
    </xf>
    <xf numFmtId="0" fontId="7" fillId="0" borderId="15" xfId="44" applyFont="1" applyBorder="1" applyAlignment="1">
      <alignment horizontal="left" vertical="center" wrapText="1"/>
      <protection/>
    </xf>
    <xf numFmtId="164" fontId="0" fillId="0" borderId="11" xfId="63" applyFont="1" applyFill="1" applyBorder="1" applyAlignment="1" applyProtection="1">
      <alignment horizontal="center" vertical="center"/>
      <protection/>
    </xf>
    <xf numFmtId="0" fontId="0" fillId="0" borderId="0" xfId="44" applyFont="1" applyBorder="1" applyAlignment="1">
      <alignment horizontal="right"/>
      <protection/>
    </xf>
    <xf numFmtId="0" fontId="7" fillId="0" borderId="11" xfId="44" applyFont="1" applyBorder="1" applyAlignment="1">
      <alignment horizontal="left" vertical="center"/>
      <protection/>
    </xf>
    <xf numFmtId="0" fontId="13" fillId="0" borderId="0" xfId="44" applyFont="1" applyBorder="1" applyAlignment="1">
      <alignment horizontal="center" vertical="center"/>
      <protection/>
    </xf>
    <xf numFmtId="0" fontId="14" fillId="0" borderId="0" xfId="44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justify" vertical="top"/>
    </xf>
    <xf numFmtId="0" fontId="14" fillId="0" borderId="11" xfId="0" applyFont="1" applyBorder="1" applyAlignment="1">
      <alignment horizontal="left" vertical="top" wrapText="1"/>
    </xf>
    <xf numFmtId="0" fontId="7" fillId="34" borderId="11" xfId="44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Currency" xfId="46"/>
    <cellStyle name="Currency [0]" xfId="47"/>
    <cellStyle name="Neutro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">
    <dxf>
      <font>
        <b/>
        <i val="0"/>
      </font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32</xdr:row>
      <xdr:rowOff>104775</xdr:rowOff>
    </xdr:from>
    <xdr:to>
      <xdr:col>3</xdr:col>
      <xdr:colOff>1057275</xdr:colOff>
      <xdr:row>36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05625"/>
          <a:ext cx="4838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view="pageBreakPreview" zoomScale="110" zoomScaleSheetLayoutView="110" zoomScalePageLayoutView="0" workbookViewId="0" topLeftCell="A1">
      <selection activeCell="D31" sqref="D31"/>
    </sheetView>
  </sheetViews>
  <sheetFormatPr defaultColWidth="9.140625" defaultRowHeight="12.75"/>
  <cols>
    <col min="1" max="1" width="8.140625" style="1" customWidth="1"/>
    <col min="2" max="2" width="10.140625" style="1" customWidth="1"/>
    <col min="3" max="3" width="11.57421875" style="1" customWidth="1"/>
    <col min="4" max="4" width="71.8515625" style="2" customWidth="1"/>
    <col min="5" max="5" width="9.7109375" style="3" customWidth="1"/>
    <col min="6" max="6" width="11.57421875" style="3" customWidth="1"/>
    <col min="7" max="8" width="12.57421875" style="3" customWidth="1"/>
    <col min="9" max="9" width="17.7109375" style="3" customWidth="1"/>
    <col min="10" max="10" width="18.00390625" style="4" customWidth="1"/>
    <col min="11" max="11" width="12.7109375" style="5" customWidth="1"/>
    <col min="12" max="16384" width="9.140625" style="5" customWidth="1"/>
  </cols>
  <sheetData>
    <row r="1" spans="1:9" ht="30">
      <c r="A1" s="153"/>
      <c r="B1" s="153"/>
      <c r="C1" s="153"/>
      <c r="D1" s="153"/>
      <c r="E1" s="153"/>
      <c r="F1" s="153"/>
      <c r="G1" s="153"/>
      <c r="H1" s="153"/>
      <c r="I1" s="153"/>
    </row>
    <row r="2" spans="1:9" ht="30">
      <c r="A2" s="6"/>
      <c r="B2" s="6"/>
      <c r="C2" s="6"/>
      <c r="D2" s="7"/>
      <c r="E2" s="6"/>
      <c r="F2" s="6"/>
      <c r="G2" s="6"/>
      <c r="H2" s="6"/>
      <c r="I2" s="6"/>
    </row>
    <row r="3" spans="1:9" ht="16.5">
      <c r="A3" s="154"/>
      <c r="B3" s="154"/>
      <c r="C3" s="154"/>
      <c r="D3" s="154"/>
      <c r="E3" s="154"/>
      <c r="F3" s="154"/>
      <c r="G3" s="154"/>
      <c r="H3" s="154"/>
      <c r="I3" s="154"/>
    </row>
    <row r="4" spans="1:9" ht="16.5">
      <c r="A4" s="8"/>
      <c r="B4" s="8"/>
      <c r="C4" s="8"/>
      <c r="D4" s="9"/>
      <c r="E4" s="8"/>
      <c r="F4" s="8"/>
      <c r="G4" s="8"/>
      <c r="H4" s="8"/>
      <c r="I4" s="8"/>
    </row>
    <row r="5" spans="1:9" ht="16.5">
      <c r="A5" s="8"/>
      <c r="B5" s="8"/>
      <c r="C5" s="8"/>
      <c r="D5" s="9"/>
      <c r="E5" s="8"/>
      <c r="F5" s="8"/>
      <c r="G5" s="8"/>
      <c r="H5" s="8"/>
      <c r="I5" s="8"/>
    </row>
    <row r="6" spans="1:9" ht="12.75">
      <c r="A6" s="40" t="s">
        <v>0</v>
      </c>
      <c r="B6" s="155" t="s">
        <v>1</v>
      </c>
      <c r="C6" s="155"/>
      <c r="D6" s="155"/>
      <c r="E6" s="155"/>
      <c r="F6" s="155"/>
      <c r="G6" s="156" t="s">
        <v>141</v>
      </c>
      <c r="H6" s="156"/>
      <c r="I6" s="156"/>
    </row>
    <row r="7" spans="1:10" ht="12.75">
      <c r="A7" s="40" t="s">
        <v>2</v>
      </c>
      <c r="B7" s="157" t="s">
        <v>3</v>
      </c>
      <c r="C7" s="157"/>
      <c r="D7" s="157"/>
      <c r="E7" s="157"/>
      <c r="F7" s="157"/>
      <c r="G7" s="156" t="s">
        <v>4</v>
      </c>
      <c r="H7" s="156"/>
      <c r="I7" s="156"/>
      <c r="J7" s="10"/>
    </row>
    <row r="8" spans="1:9" ht="12.75">
      <c r="A8" s="137"/>
      <c r="B8" s="138"/>
      <c r="C8" s="138"/>
      <c r="D8" s="138"/>
      <c r="E8" s="138"/>
      <c r="F8" s="138"/>
      <c r="G8" s="138"/>
      <c r="H8" s="138"/>
      <c r="I8" s="139"/>
    </row>
    <row r="9" spans="1:9" ht="12.75">
      <c r="A9" s="148" t="s">
        <v>5</v>
      </c>
      <c r="B9" s="148"/>
      <c r="C9" s="148"/>
      <c r="D9" s="148"/>
      <c r="E9" s="148"/>
      <c r="F9" s="148"/>
      <c r="G9" s="148"/>
      <c r="H9" s="148"/>
      <c r="I9" s="148"/>
    </row>
    <row r="10" spans="1:11" ht="12.75">
      <c r="A10" s="137"/>
      <c r="B10" s="138"/>
      <c r="C10" s="138"/>
      <c r="D10" s="138"/>
      <c r="E10" s="138"/>
      <c r="F10" s="138"/>
      <c r="G10" s="138"/>
      <c r="H10" s="138"/>
      <c r="I10" s="139"/>
      <c r="K10" s="11"/>
    </row>
    <row r="11" spans="1:10" s="12" customFormat="1" ht="25.5">
      <c r="A11" s="44" t="s">
        <v>6</v>
      </c>
      <c r="B11" s="44" t="s">
        <v>7</v>
      </c>
      <c r="C11" s="44" t="s">
        <v>8</v>
      </c>
      <c r="D11" s="45" t="s">
        <v>9</v>
      </c>
      <c r="E11" s="46" t="s">
        <v>10</v>
      </c>
      <c r="F11" s="46" t="s">
        <v>11</v>
      </c>
      <c r="G11" s="46" t="s">
        <v>12</v>
      </c>
      <c r="H11" s="46" t="s">
        <v>13</v>
      </c>
      <c r="I11" s="46" t="s">
        <v>14</v>
      </c>
      <c r="J11" s="4"/>
    </row>
    <row r="12" spans="1:10" s="12" customFormat="1" ht="12.75">
      <c r="A12" s="44">
        <v>1</v>
      </c>
      <c r="B12" s="44"/>
      <c r="C12" s="44"/>
      <c r="D12" s="45" t="s">
        <v>15</v>
      </c>
      <c r="E12" s="46"/>
      <c r="F12" s="46"/>
      <c r="G12" s="46"/>
      <c r="H12" s="46"/>
      <c r="I12" s="46"/>
      <c r="J12" s="4"/>
    </row>
    <row r="13" spans="1:10" s="14" customFormat="1" ht="12.75">
      <c r="A13" s="42" t="s">
        <v>16</v>
      </c>
      <c r="B13" s="42" t="s">
        <v>17</v>
      </c>
      <c r="C13" s="47" t="s">
        <v>18</v>
      </c>
      <c r="D13" s="41" t="s">
        <v>19</v>
      </c>
      <c r="E13" s="43" t="s">
        <v>20</v>
      </c>
      <c r="F13" s="43">
        <v>6</v>
      </c>
      <c r="G13" s="48">
        <v>318.78</v>
      </c>
      <c r="H13" s="49">
        <f>G13*1.22</f>
        <v>388.91159999999996</v>
      </c>
      <c r="I13" s="49">
        <f>ROUND(F13*H13,2)</f>
        <v>2333.47</v>
      </c>
      <c r="J13" s="13"/>
    </row>
    <row r="14" spans="1:10" s="14" customFormat="1" ht="25.5">
      <c r="A14" s="42" t="s">
        <v>21</v>
      </c>
      <c r="B14" s="42" t="s">
        <v>17</v>
      </c>
      <c r="C14" s="47" t="s">
        <v>22</v>
      </c>
      <c r="D14" s="41" t="s">
        <v>23</v>
      </c>
      <c r="E14" s="43" t="s">
        <v>24</v>
      </c>
      <c r="F14" s="43">
        <v>3</v>
      </c>
      <c r="G14" s="48">
        <v>913.43</v>
      </c>
      <c r="H14" s="49">
        <f>G14*1.22</f>
        <v>1114.3845999999999</v>
      </c>
      <c r="I14" s="49">
        <f>ROUND(F14*H14,2)</f>
        <v>3343.15</v>
      </c>
      <c r="J14" s="13"/>
    </row>
    <row r="15" spans="1:10" s="14" customFormat="1" ht="25.5">
      <c r="A15" s="64" t="s">
        <v>25</v>
      </c>
      <c r="B15" s="64" t="s">
        <v>17</v>
      </c>
      <c r="C15" s="58" t="s">
        <v>26</v>
      </c>
      <c r="D15" s="67" t="s">
        <v>27</v>
      </c>
      <c r="E15" s="60" t="s">
        <v>24</v>
      </c>
      <c r="F15" s="60">
        <v>3</v>
      </c>
      <c r="G15" s="61">
        <v>694.42</v>
      </c>
      <c r="H15" s="49">
        <f>G15*1.22</f>
        <v>847.1923999999999</v>
      </c>
      <c r="I15" s="49">
        <f>ROUND(F15*H15,2)</f>
        <v>2541.58</v>
      </c>
      <c r="J15" s="13"/>
    </row>
    <row r="16" spans="1:9" ht="12.75">
      <c r="A16" s="82"/>
      <c r="B16" s="83"/>
      <c r="C16" s="83"/>
      <c r="D16" s="149" t="s">
        <v>28</v>
      </c>
      <c r="E16" s="149"/>
      <c r="F16" s="149"/>
      <c r="G16" s="149"/>
      <c r="H16" s="150"/>
      <c r="I16" s="57">
        <f>SUM(I13:I15)</f>
        <v>8218.2</v>
      </c>
    </row>
    <row r="17" spans="1:9" ht="12.75">
      <c r="A17" s="140"/>
      <c r="B17" s="141"/>
      <c r="C17" s="141"/>
      <c r="D17" s="141"/>
      <c r="E17" s="141"/>
      <c r="F17" s="141"/>
      <c r="G17" s="141"/>
      <c r="H17" s="141"/>
      <c r="I17" s="142"/>
    </row>
    <row r="18" spans="1:10" s="12" customFormat="1" ht="12.75">
      <c r="A18" s="44">
        <v>2</v>
      </c>
      <c r="B18" s="44"/>
      <c r="C18" s="44"/>
      <c r="D18" s="45" t="s">
        <v>29</v>
      </c>
      <c r="E18" s="46"/>
      <c r="F18" s="46"/>
      <c r="G18" s="50"/>
      <c r="H18" s="50"/>
      <c r="I18" s="50"/>
      <c r="J18" s="4"/>
    </row>
    <row r="19" spans="1:10" s="12" customFormat="1" ht="38.25">
      <c r="A19" s="47" t="s">
        <v>30</v>
      </c>
      <c r="B19" s="47" t="s">
        <v>17</v>
      </c>
      <c r="C19" s="47" t="s">
        <v>31</v>
      </c>
      <c r="D19" s="51" t="s">
        <v>32</v>
      </c>
      <c r="E19" s="43" t="s">
        <v>20</v>
      </c>
      <c r="F19" s="43">
        <v>1089.6</v>
      </c>
      <c r="G19" s="48">
        <v>11.13</v>
      </c>
      <c r="H19" s="49">
        <f>G19*1.22</f>
        <v>13.5786</v>
      </c>
      <c r="I19" s="49">
        <f aca="true" t="shared" si="0" ref="I19:I27">ROUND(F19*H19,2)</f>
        <v>14795.24</v>
      </c>
      <c r="J19" s="4"/>
    </row>
    <row r="20" spans="1:9" ht="25.5">
      <c r="A20" s="47" t="s">
        <v>33</v>
      </c>
      <c r="B20" s="42" t="s">
        <v>17</v>
      </c>
      <c r="C20" s="47" t="s">
        <v>34</v>
      </c>
      <c r="D20" s="41" t="s">
        <v>35</v>
      </c>
      <c r="E20" s="43" t="s">
        <v>20</v>
      </c>
      <c r="F20" s="43">
        <v>892</v>
      </c>
      <c r="G20" s="48">
        <v>25.3</v>
      </c>
      <c r="H20" s="49">
        <f aca="true" t="shared" si="1" ref="H20:H27">G20*1.22</f>
        <v>30.866</v>
      </c>
      <c r="I20" s="49">
        <f t="shared" si="0"/>
        <v>27532.47</v>
      </c>
    </row>
    <row r="21" spans="1:9" ht="12.75">
      <c r="A21" s="47" t="s">
        <v>36</v>
      </c>
      <c r="B21" s="42" t="s">
        <v>17</v>
      </c>
      <c r="C21" s="47" t="s">
        <v>37</v>
      </c>
      <c r="D21" s="41" t="s">
        <v>38</v>
      </c>
      <c r="E21" s="43" t="s">
        <v>39</v>
      </c>
      <c r="F21" s="43">
        <v>178.4</v>
      </c>
      <c r="G21" s="48">
        <v>240.02</v>
      </c>
      <c r="H21" s="49">
        <f t="shared" si="1"/>
        <v>292.8244</v>
      </c>
      <c r="I21" s="49">
        <f t="shared" si="0"/>
        <v>52239.87</v>
      </c>
    </row>
    <row r="22" spans="1:9" ht="12.75">
      <c r="A22" s="47" t="s">
        <v>40</v>
      </c>
      <c r="B22" s="42" t="s">
        <v>17</v>
      </c>
      <c r="C22" s="47" t="s">
        <v>41</v>
      </c>
      <c r="D22" s="51" t="s">
        <v>42</v>
      </c>
      <c r="E22" s="43" t="s">
        <v>43</v>
      </c>
      <c r="F22" s="43">
        <v>24.15</v>
      </c>
      <c r="G22" s="48">
        <v>57.4</v>
      </c>
      <c r="H22" s="49">
        <f t="shared" si="1"/>
        <v>70.02799999999999</v>
      </c>
      <c r="I22" s="49">
        <f t="shared" si="0"/>
        <v>1691.18</v>
      </c>
    </row>
    <row r="23" spans="1:10" s="12" customFormat="1" ht="12.75">
      <c r="A23" s="47" t="s">
        <v>44</v>
      </c>
      <c r="B23" s="42" t="s">
        <v>17</v>
      </c>
      <c r="C23" s="52" t="s">
        <v>45</v>
      </c>
      <c r="D23" s="51" t="s">
        <v>46</v>
      </c>
      <c r="E23" s="43" t="s">
        <v>43</v>
      </c>
      <c r="F23" s="43">
        <v>331.16</v>
      </c>
      <c r="G23" s="48">
        <v>54.94</v>
      </c>
      <c r="H23" s="49">
        <f t="shared" si="1"/>
        <v>67.0268</v>
      </c>
      <c r="I23" s="49">
        <f t="shared" si="0"/>
        <v>22196.6</v>
      </c>
      <c r="J23" s="4"/>
    </row>
    <row r="24" spans="1:10" s="12" customFormat="1" ht="12.75">
      <c r="A24" s="47" t="s">
        <v>47</v>
      </c>
      <c r="B24" s="42" t="s">
        <v>17</v>
      </c>
      <c r="C24" s="52" t="s">
        <v>48</v>
      </c>
      <c r="D24" s="51" t="s">
        <v>49</v>
      </c>
      <c r="E24" s="43" t="s">
        <v>20</v>
      </c>
      <c r="F24" s="43">
        <v>892</v>
      </c>
      <c r="G24" s="48">
        <v>15.21</v>
      </c>
      <c r="H24" s="49">
        <f t="shared" si="1"/>
        <v>18.5562</v>
      </c>
      <c r="I24" s="49">
        <f t="shared" si="0"/>
        <v>16552.13</v>
      </c>
      <c r="J24" s="4"/>
    </row>
    <row r="25" spans="1:10" s="12" customFormat="1" ht="12.75">
      <c r="A25" s="47" t="s">
        <v>50</v>
      </c>
      <c r="B25" s="42" t="s">
        <v>17</v>
      </c>
      <c r="C25" s="52" t="s">
        <v>51</v>
      </c>
      <c r="D25" s="51" t="s">
        <v>52</v>
      </c>
      <c r="E25" s="43" t="s">
        <v>20</v>
      </c>
      <c r="F25" s="43">
        <v>2253.95</v>
      </c>
      <c r="G25" s="48">
        <v>7.53</v>
      </c>
      <c r="H25" s="49">
        <f t="shared" si="1"/>
        <v>9.1866</v>
      </c>
      <c r="I25" s="49">
        <f t="shared" si="0"/>
        <v>20706.14</v>
      </c>
      <c r="J25" s="4"/>
    </row>
    <row r="26" spans="1:10" s="12" customFormat="1" ht="25.5">
      <c r="A26" s="47" t="s">
        <v>53</v>
      </c>
      <c r="B26" s="42" t="s">
        <v>17</v>
      </c>
      <c r="C26" s="52" t="s">
        <v>54</v>
      </c>
      <c r="D26" s="41" t="s">
        <v>55</v>
      </c>
      <c r="E26" s="43" t="s">
        <v>39</v>
      </c>
      <c r="F26" s="43">
        <v>90.16</v>
      </c>
      <c r="G26" s="49">
        <v>1488.09</v>
      </c>
      <c r="H26" s="49">
        <f t="shared" si="1"/>
        <v>1815.4697999999999</v>
      </c>
      <c r="I26" s="49">
        <f t="shared" si="0"/>
        <v>163682.76</v>
      </c>
      <c r="J26" s="4"/>
    </row>
    <row r="27" spans="1:10" s="12" customFormat="1" ht="25.5">
      <c r="A27" s="58" t="s">
        <v>56</v>
      </c>
      <c r="B27" s="64" t="s">
        <v>17</v>
      </c>
      <c r="C27" s="66" t="s">
        <v>57</v>
      </c>
      <c r="D27" s="67" t="s">
        <v>58</v>
      </c>
      <c r="E27" s="60" t="s">
        <v>39</v>
      </c>
      <c r="F27" s="60">
        <v>1.79</v>
      </c>
      <c r="G27" s="61">
        <v>799.61</v>
      </c>
      <c r="H27" s="49">
        <f t="shared" si="1"/>
        <v>975.5242</v>
      </c>
      <c r="I27" s="49">
        <f t="shared" si="0"/>
        <v>1746.19</v>
      </c>
      <c r="J27" s="4"/>
    </row>
    <row r="28" spans="1:9" ht="12.75">
      <c r="A28" s="68"/>
      <c r="B28" s="69"/>
      <c r="C28" s="69"/>
      <c r="D28" s="151" t="s">
        <v>59</v>
      </c>
      <c r="E28" s="151"/>
      <c r="F28" s="151"/>
      <c r="G28" s="151"/>
      <c r="H28" s="152"/>
      <c r="I28" s="70">
        <f>SUM(I19:I27)</f>
        <v>321142.58</v>
      </c>
    </row>
    <row r="29" spans="1:10" s="12" customFormat="1" ht="12.75">
      <c r="A29" s="75"/>
      <c r="B29" s="76"/>
      <c r="C29" s="77"/>
      <c r="D29" s="78"/>
      <c r="E29" s="79"/>
      <c r="F29" s="79"/>
      <c r="G29" s="80"/>
      <c r="H29" s="80"/>
      <c r="I29" s="81"/>
      <c r="J29" s="4"/>
    </row>
    <row r="30" spans="1:10" s="12" customFormat="1" ht="12.75">
      <c r="A30" s="71">
        <v>3</v>
      </c>
      <c r="B30" s="71"/>
      <c r="C30" s="71"/>
      <c r="D30" s="72" t="s">
        <v>60</v>
      </c>
      <c r="E30" s="73"/>
      <c r="F30" s="73"/>
      <c r="G30" s="74"/>
      <c r="H30" s="74"/>
      <c r="I30" s="74"/>
      <c r="J30" s="4"/>
    </row>
    <row r="31" spans="1:10" s="12" customFormat="1" ht="12.75">
      <c r="A31" s="47" t="s">
        <v>61</v>
      </c>
      <c r="B31" s="47" t="s">
        <v>17</v>
      </c>
      <c r="C31" s="47" t="s">
        <v>62</v>
      </c>
      <c r="D31" s="51" t="s">
        <v>63</v>
      </c>
      <c r="E31" s="43" t="s">
        <v>39</v>
      </c>
      <c r="F31" s="43">
        <v>42.04</v>
      </c>
      <c r="G31" s="48">
        <v>193.92</v>
      </c>
      <c r="H31" s="49">
        <f>G31*1.22</f>
        <v>236.58239999999998</v>
      </c>
      <c r="I31" s="49">
        <f>ROUND(F31*H31,2)</f>
        <v>9945.92</v>
      </c>
      <c r="J31" s="4"/>
    </row>
    <row r="32" spans="1:10" s="12" customFormat="1" ht="12.75">
      <c r="A32" s="47" t="s">
        <v>64</v>
      </c>
      <c r="B32" s="47" t="s">
        <v>17</v>
      </c>
      <c r="C32" s="47" t="s">
        <v>65</v>
      </c>
      <c r="D32" s="51" t="s">
        <v>66</v>
      </c>
      <c r="E32" s="43" t="s">
        <v>39</v>
      </c>
      <c r="F32" s="43">
        <v>42.04</v>
      </c>
      <c r="G32" s="48">
        <v>60.14</v>
      </c>
      <c r="H32" s="49">
        <f>G32*1.22</f>
        <v>73.3708</v>
      </c>
      <c r="I32" s="49">
        <f>ROUND(F32*H32,2)</f>
        <v>3084.51</v>
      </c>
      <c r="J32" s="4"/>
    </row>
    <row r="33" spans="1:10" s="12" customFormat="1" ht="12.75">
      <c r="A33" s="47" t="s">
        <v>67</v>
      </c>
      <c r="B33" s="42" t="s">
        <v>17</v>
      </c>
      <c r="C33" s="52" t="s">
        <v>68</v>
      </c>
      <c r="D33" s="51" t="s">
        <v>69</v>
      </c>
      <c r="E33" s="53" t="s">
        <v>39</v>
      </c>
      <c r="F33" s="53">
        <v>42.04</v>
      </c>
      <c r="G33" s="48">
        <v>388.1</v>
      </c>
      <c r="H33" s="49">
        <f>G33*1.22</f>
        <v>473.482</v>
      </c>
      <c r="I33" s="49">
        <f>ROUND(F33*H33,2)</f>
        <v>19905.18</v>
      </c>
      <c r="J33" s="4"/>
    </row>
    <row r="34" spans="1:10" s="12" customFormat="1" ht="12.75">
      <c r="A34" s="47" t="s">
        <v>70</v>
      </c>
      <c r="B34" s="47" t="s">
        <v>17</v>
      </c>
      <c r="C34" s="47" t="s">
        <v>71</v>
      </c>
      <c r="D34" s="51" t="s">
        <v>72</v>
      </c>
      <c r="E34" s="43" t="s">
        <v>20</v>
      </c>
      <c r="F34" s="43">
        <v>600.59</v>
      </c>
      <c r="G34" s="48">
        <v>15.17</v>
      </c>
      <c r="H34" s="49">
        <f>G34*1.22</f>
        <v>18.5074</v>
      </c>
      <c r="I34" s="49">
        <f>ROUND(F34*H34,2)</f>
        <v>11115.36</v>
      </c>
      <c r="J34" s="4"/>
    </row>
    <row r="35" spans="1:10" s="15" customFormat="1" ht="25.5">
      <c r="A35" s="58" t="s">
        <v>73</v>
      </c>
      <c r="B35" s="64" t="s">
        <v>17</v>
      </c>
      <c r="C35" s="84" t="s">
        <v>74</v>
      </c>
      <c r="D35" s="59" t="s">
        <v>75</v>
      </c>
      <c r="E35" s="65" t="s">
        <v>43</v>
      </c>
      <c r="F35" s="65">
        <v>100</v>
      </c>
      <c r="G35" s="61">
        <v>17.84</v>
      </c>
      <c r="H35" s="49">
        <f>G35*1.22</f>
        <v>21.7648</v>
      </c>
      <c r="I35" s="49">
        <f>ROUND(F35*H35,2)</f>
        <v>2176.48</v>
      </c>
      <c r="J35" s="13"/>
    </row>
    <row r="36" spans="1:10" s="12" customFormat="1" ht="12.75">
      <c r="A36" s="55"/>
      <c r="B36" s="56"/>
      <c r="C36" s="56"/>
      <c r="D36" s="149" t="s">
        <v>76</v>
      </c>
      <c r="E36" s="149"/>
      <c r="F36" s="149"/>
      <c r="G36" s="149"/>
      <c r="H36" s="150"/>
      <c r="I36" s="57">
        <f>SUM(I31:I35)</f>
        <v>46227.450000000004</v>
      </c>
      <c r="J36" s="4"/>
    </row>
    <row r="37" spans="1:10" s="12" customFormat="1" ht="12.75">
      <c r="A37" s="143"/>
      <c r="B37" s="144"/>
      <c r="C37" s="144"/>
      <c r="D37" s="144"/>
      <c r="E37" s="144"/>
      <c r="F37" s="144"/>
      <c r="G37" s="144"/>
      <c r="H37" s="144"/>
      <c r="I37" s="145"/>
      <c r="J37" s="4"/>
    </row>
    <row r="38" spans="1:10" s="12" customFormat="1" ht="12.75">
      <c r="A38" s="44">
        <v>4</v>
      </c>
      <c r="B38" s="44"/>
      <c r="C38" s="44"/>
      <c r="D38" s="45" t="s">
        <v>78</v>
      </c>
      <c r="E38" s="46"/>
      <c r="F38" s="46"/>
      <c r="G38" s="50"/>
      <c r="H38" s="50"/>
      <c r="I38" s="50"/>
      <c r="J38" s="4"/>
    </row>
    <row r="39" spans="1:10" s="12" customFormat="1" ht="25.5">
      <c r="A39" s="47" t="s">
        <v>79</v>
      </c>
      <c r="B39" s="47" t="s">
        <v>17</v>
      </c>
      <c r="C39" s="47" t="s">
        <v>80</v>
      </c>
      <c r="D39" s="51" t="s">
        <v>81</v>
      </c>
      <c r="E39" s="43" t="s">
        <v>20</v>
      </c>
      <c r="F39" s="43">
        <v>38.4</v>
      </c>
      <c r="G39" s="48">
        <v>39.45</v>
      </c>
      <c r="H39" s="49">
        <f>G39*1.22</f>
        <v>48.129000000000005</v>
      </c>
      <c r="I39" s="49">
        <f>ROUND(F39*H39,2)</f>
        <v>1848.15</v>
      </c>
      <c r="J39" s="4"/>
    </row>
    <row r="40" spans="1:10" s="12" customFormat="1" ht="25.5">
      <c r="A40" s="58" t="s">
        <v>82</v>
      </c>
      <c r="B40" s="58" t="s">
        <v>17</v>
      </c>
      <c r="C40" s="58" t="s">
        <v>83</v>
      </c>
      <c r="D40" s="59" t="s">
        <v>84</v>
      </c>
      <c r="E40" s="60" t="s">
        <v>20</v>
      </c>
      <c r="F40" s="60">
        <v>3.4</v>
      </c>
      <c r="G40" s="61">
        <v>1582.16</v>
      </c>
      <c r="H40" s="49">
        <f>G40*1.22</f>
        <v>1930.2352</v>
      </c>
      <c r="I40" s="49">
        <f>ROUND(F40*H40,2)</f>
        <v>6562.8</v>
      </c>
      <c r="J40" s="4"/>
    </row>
    <row r="41" spans="1:10" s="12" customFormat="1" ht="12.75">
      <c r="A41" s="62"/>
      <c r="B41" s="63"/>
      <c r="C41" s="63"/>
      <c r="D41" s="149" t="s">
        <v>85</v>
      </c>
      <c r="E41" s="149"/>
      <c r="F41" s="149"/>
      <c r="G41" s="149"/>
      <c r="H41" s="150"/>
      <c r="I41" s="57">
        <f>SUM(I39:I40)</f>
        <v>8410.95</v>
      </c>
      <c r="J41" s="4"/>
    </row>
    <row r="42" spans="1:10" s="12" customFormat="1" ht="12.75">
      <c r="A42" s="146"/>
      <c r="B42" s="147"/>
      <c r="C42" s="147"/>
      <c r="D42" s="147"/>
      <c r="E42" s="147"/>
      <c r="F42" s="147"/>
      <c r="G42" s="147"/>
      <c r="H42" s="147"/>
      <c r="I42" s="142"/>
      <c r="J42" s="4"/>
    </row>
    <row r="43" spans="1:10" s="12" customFormat="1" ht="12.75">
      <c r="A43" s="55"/>
      <c r="B43" s="56"/>
      <c r="C43" s="56"/>
      <c r="D43" s="149" t="s">
        <v>86</v>
      </c>
      <c r="E43" s="149"/>
      <c r="F43" s="149"/>
      <c r="G43" s="149"/>
      <c r="H43" s="150"/>
      <c r="I43" s="54">
        <f>I41+I36+I28+I16</f>
        <v>383999.18000000005</v>
      </c>
      <c r="J43" s="4"/>
    </row>
    <row r="44" spans="1:4" ht="12.75">
      <c r="A44" s="16"/>
      <c r="B44" s="16"/>
      <c r="C44" s="16"/>
      <c r="D44" s="17"/>
    </row>
    <row r="46" spans="7:9" ht="12.75">
      <c r="G46" s="136"/>
      <c r="H46" s="136"/>
      <c r="I46" s="136"/>
    </row>
  </sheetData>
  <sheetProtection selectLockedCells="1" selectUnlockedCells="1"/>
  <mergeCells count="18">
    <mergeCell ref="D41:H41"/>
    <mergeCell ref="D43:H43"/>
    <mergeCell ref="A1:I1"/>
    <mergeCell ref="A3:I3"/>
    <mergeCell ref="B6:F6"/>
    <mergeCell ref="G6:I6"/>
    <mergeCell ref="B7:F7"/>
    <mergeCell ref="G7:I7"/>
    <mergeCell ref="G46:I46"/>
    <mergeCell ref="A8:I8"/>
    <mergeCell ref="A10:I10"/>
    <mergeCell ref="A17:I17"/>
    <mergeCell ref="A37:I37"/>
    <mergeCell ref="A42:I42"/>
    <mergeCell ref="A9:I9"/>
    <mergeCell ref="D16:H16"/>
    <mergeCell ref="D28:H28"/>
    <mergeCell ref="D36:H36"/>
  </mergeCells>
  <conditionalFormatting sqref="E41">
    <cfRule type="expression" priority="1" dxfId="0" stopIfTrue="1">
      <formula>$K41=1</formula>
    </cfRule>
  </conditionalFormatting>
  <printOptions horizontalCentered="1"/>
  <pageMargins left="0.9243055555555556" right="0.4152777777777778" top="0.6756944444444445" bottom="0.7875" header="0.5118055555555555" footer="0.5118055555555555"/>
  <pageSetup fitToHeight="0" fitToWidth="1" horizontalDpi="300" verticalDpi="300" orientation="portrait" paperSize="9" scale="52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="95" zoomScaleSheetLayoutView="95" zoomScalePageLayoutView="0" workbookViewId="0" topLeftCell="A1">
      <selection activeCell="A2" sqref="A2:K2"/>
    </sheetView>
  </sheetViews>
  <sheetFormatPr defaultColWidth="9.140625" defaultRowHeight="12.75"/>
  <cols>
    <col min="1" max="1" width="8.140625" style="18" customWidth="1"/>
    <col min="2" max="2" width="56.00390625" style="19" customWidth="1"/>
    <col min="3" max="3" width="15.8515625" style="20" customWidth="1"/>
    <col min="4" max="6" width="15.8515625" style="21" customWidth="1"/>
    <col min="7" max="7" width="0" style="21" hidden="1" customWidth="1"/>
    <col min="8" max="12" width="0" style="19" hidden="1" customWidth="1"/>
    <col min="13" max="16384" width="9.140625" style="19" customWidth="1"/>
  </cols>
  <sheetData>
    <row r="1" spans="1:11" s="22" customFormat="1" ht="40.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22" customFormat="1" ht="22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22" customFormat="1" ht="22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2" customFormat="1" ht="32.25" customHeight="1">
      <c r="A4" s="167" t="s">
        <v>87</v>
      </c>
      <c r="B4" s="167"/>
      <c r="C4" s="167"/>
      <c r="D4" s="167"/>
      <c r="E4" s="167"/>
      <c r="F4" s="167"/>
      <c r="G4" s="106"/>
      <c r="H4" s="24"/>
      <c r="I4" s="24"/>
      <c r="J4" s="24"/>
      <c r="K4" s="24"/>
    </row>
    <row r="5" spans="1:11" s="22" customFormat="1" ht="15.75">
      <c r="A5" s="168" t="s">
        <v>88</v>
      </c>
      <c r="B5" s="168"/>
      <c r="C5" s="168"/>
      <c r="D5" s="168"/>
      <c r="E5" s="168"/>
      <c r="F5" s="168"/>
      <c r="G5" s="106"/>
      <c r="H5" s="24"/>
      <c r="I5" s="24"/>
      <c r="J5" s="24"/>
      <c r="K5" s="24"/>
    </row>
    <row r="6" spans="1:11" s="22" customFormat="1" ht="22.5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</row>
    <row r="7" spans="1:11" ht="28.5" customHeight="1">
      <c r="A7" s="169" t="s">
        <v>89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12.75">
      <c r="A8" s="102"/>
      <c r="B8" s="27"/>
      <c r="D8" s="103"/>
      <c r="E8" s="103"/>
      <c r="F8" s="103"/>
      <c r="G8" s="104"/>
      <c r="H8" s="105"/>
      <c r="I8" s="105"/>
      <c r="J8" s="105"/>
      <c r="K8" s="105"/>
    </row>
    <row r="9" spans="1:11" ht="12.75">
      <c r="A9" s="86" t="s">
        <v>6</v>
      </c>
      <c r="B9" s="86" t="s">
        <v>9</v>
      </c>
      <c r="C9" s="87" t="s">
        <v>90</v>
      </c>
      <c r="D9" s="86" t="s">
        <v>91</v>
      </c>
      <c r="E9" s="86" t="s">
        <v>92</v>
      </c>
      <c r="F9" s="86" t="s">
        <v>93</v>
      </c>
      <c r="G9" s="88" t="s">
        <v>94</v>
      </c>
      <c r="H9" s="88" t="s">
        <v>95</v>
      </c>
      <c r="I9" s="88" t="s">
        <v>96</v>
      </c>
      <c r="J9" s="88" t="s">
        <v>97</v>
      </c>
      <c r="K9" s="88" t="s">
        <v>98</v>
      </c>
    </row>
    <row r="10" spans="1:12" s="26" customFormat="1" ht="12.75">
      <c r="A10" s="158">
        <f>'Planilha '!A12</f>
        <v>1</v>
      </c>
      <c r="B10" s="164" t="str">
        <f>'Planilha '!D12</f>
        <v>SERVIÇOS PRELIMINARES</v>
      </c>
      <c r="C10" s="162">
        <f>'Planilha '!I16</f>
        <v>8218.2</v>
      </c>
      <c r="D10" s="90">
        <f>(D11*$C10)</f>
        <v>7725.108</v>
      </c>
      <c r="E10" s="90">
        <f>(E11*$C10)</f>
        <v>246.54600000000002</v>
      </c>
      <c r="F10" s="90">
        <f>(F11*$C10)</f>
        <v>246.54600000000002</v>
      </c>
      <c r="G10" s="85"/>
      <c r="H10" s="85"/>
      <c r="I10" s="85"/>
      <c r="J10" s="85"/>
      <c r="K10" s="85"/>
      <c r="L10" s="25"/>
    </row>
    <row r="11" spans="1:12" s="26" customFormat="1" ht="12.75">
      <c r="A11" s="158"/>
      <c r="B11" s="164"/>
      <c r="C11" s="162"/>
      <c r="D11" s="91">
        <v>0.94</v>
      </c>
      <c r="E11" s="91">
        <v>0.03</v>
      </c>
      <c r="F11" s="91">
        <v>0.03</v>
      </c>
      <c r="G11" s="85"/>
      <c r="H11" s="85"/>
      <c r="I11" s="85"/>
      <c r="J11" s="85"/>
      <c r="K11" s="85"/>
      <c r="L11" s="25"/>
    </row>
    <row r="12" spans="1:12" s="26" customFormat="1" ht="12.75">
      <c r="A12" s="158">
        <f>'Planilha '!A18</f>
        <v>2</v>
      </c>
      <c r="B12" s="164" t="str">
        <f>'Planilha '!D18</f>
        <v>TERRAPLENAGEM E PAVIMENTAÇÃO</v>
      </c>
      <c r="C12" s="162">
        <f>'Planilha '!I28</f>
        <v>321142.58</v>
      </c>
      <c r="D12" s="92">
        <f>(D13*$C12)</f>
        <v>96342.774</v>
      </c>
      <c r="E12" s="92">
        <f>(E13*$C12)</f>
        <v>160571.29</v>
      </c>
      <c r="F12" s="92">
        <f>(F13*$C12)</f>
        <v>64228.516</v>
      </c>
      <c r="G12" s="85"/>
      <c r="H12" s="85"/>
      <c r="I12" s="85"/>
      <c r="J12" s="85"/>
      <c r="K12" s="85"/>
      <c r="L12" s="25"/>
    </row>
    <row r="13" spans="1:12" ht="12.75">
      <c r="A13" s="158"/>
      <c r="B13" s="164"/>
      <c r="C13" s="162"/>
      <c r="D13" s="91">
        <v>0.3</v>
      </c>
      <c r="E13" s="91">
        <v>0.5</v>
      </c>
      <c r="F13" s="91">
        <v>0.2</v>
      </c>
      <c r="G13" s="85"/>
      <c r="H13" s="85"/>
      <c r="I13" s="85"/>
      <c r="J13" s="85"/>
      <c r="K13" s="85"/>
      <c r="L13" s="27"/>
    </row>
    <row r="14" spans="1:12" s="26" customFormat="1" ht="12.75">
      <c r="A14" s="158">
        <f>'Planilha '!A30</f>
        <v>3</v>
      </c>
      <c r="B14" s="164" t="str">
        <f>'Planilha '!D30</f>
        <v>PASSEIO PÚBLICO</v>
      </c>
      <c r="C14" s="162">
        <f>'Planilha '!I36</f>
        <v>46227.450000000004</v>
      </c>
      <c r="D14" s="92">
        <f>D15*$C14</f>
        <v>0</v>
      </c>
      <c r="E14" s="92">
        <f>ROUND(E15*$C14,2)</f>
        <v>0</v>
      </c>
      <c r="F14" s="92">
        <f>(F15*$C14)</f>
        <v>46227.450000000004</v>
      </c>
      <c r="G14" s="93"/>
      <c r="H14" s="93"/>
      <c r="I14" s="93"/>
      <c r="J14" s="93"/>
      <c r="K14" s="93"/>
      <c r="L14" s="25"/>
    </row>
    <row r="15" spans="1:12" ht="12.75">
      <c r="A15" s="158"/>
      <c r="B15" s="164"/>
      <c r="C15" s="162"/>
      <c r="D15" s="91"/>
      <c r="E15" s="91"/>
      <c r="F15" s="91">
        <v>1</v>
      </c>
      <c r="G15" s="94"/>
      <c r="H15" s="94"/>
      <c r="I15" s="94"/>
      <c r="J15" s="94"/>
      <c r="K15" s="94"/>
      <c r="L15" s="27"/>
    </row>
    <row r="16" spans="1:12" s="26" customFormat="1" ht="14.25" customHeight="1" hidden="1">
      <c r="A16" s="158"/>
      <c r="B16" s="159"/>
      <c r="C16" s="89"/>
      <c r="D16" s="92"/>
      <c r="E16" s="92"/>
      <c r="F16" s="92"/>
      <c r="G16" s="93"/>
      <c r="H16" s="93"/>
      <c r="I16" s="93"/>
      <c r="J16" s="93"/>
      <c r="K16" s="93"/>
      <c r="L16" s="25"/>
    </row>
    <row r="17" spans="1:12" ht="12" customHeight="1" hidden="1">
      <c r="A17" s="158"/>
      <c r="B17" s="159"/>
      <c r="C17" s="89"/>
      <c r="D17" s="95"/>
      <c r="E17" s="95"/>
      <c r="F17" s="95"/>
      <c r="G17" s="94"/>
      <c r="H17" s="94"/>
      <c r="I17" s="94"/>
      <c r="J17" s="94"/>
      <c r="K17" s="94"/>
      <c r="L17" s="27"/>
    </row>
    <row r="18" spans="1:12" ht="12" customHeight="1">
      <c r="A18" s="158" t="s">
        <v>77</v>
      </c>
      <c r="B18" s="159" t="s">
        <v>78</v>
      </c>
      <c r="C18" s="162">
        <f>'Planilha '!I41</f>
        <v>8410.95</v>
      </c>
      <c r="D18" s="95" t="s">
        <v>99</v>
      </c>
      <c r="E18" s="95" t="s">
        <v>99</v>
      </c>
      <c r="F18" s="96">
        <f>C18</f>
        <v>8410.95</v>
      </c>
      <c r="G18" s="94"/>
      <c r="H18" s="94"/>
      <c r="I18" s="94"/>
      <c r="J18" s="94"/>
      <c r="K18" s="94"/>
      <c r="L18" s="27"/>
    </row>
    <row r="19" spans="1:12" ht="12" customHeight="1">
      <c r="A19" s="160"/>
      <c r="B19" s="161"/>
      <c r="C19" s="162"/>
      <c r="D19" s="114"/>
      <c r="E19" s="114"/>
      <c r="F19" s="114">
        <f>F15</f>
        <v>1</v>
      </c>
      <c r="G19" s="94"/>
      <c r="H19" s="94"/>
      <c r="I19" s="94"/>
      <c r="J19" s="94"/>
      <c r="K19" s="94"/>
      <c r="L19" s="27"/>
    </row>
    <row r="20" spans="1:12" ht="12.75">
      <c r="A20" s="108"/>
      <c r="B20" s="109"/>
      <c r="C20" s="112">
        <f>SUM(C10:C19)</f>
        <v>383999.18000000005</v>
      </c>
      <c r="D20" s="116"/>
      <c r="E20" s="117"/>
      <c r="F20" s="118"/>
      <c r="G20" s="113"/>
      <c r="H20" s="94"/>
      <c r="I20" s="94"/>
      <c r="J20" s="94"/>
      <c r="K20" s="94"/>
      <c r="L20" s="27"/>
    </row>
    <row r="21" spans="1:12" ht="12.75">
      <c r="A21" s="110"/>
      <c r="B21" s="111" t="s">
        <v>100</v>
      </c>
      <c r="C21" s="107"/>
      <c r="D21" s="115">
        <f>(SUM(D10+D12))</f>
        <v>104067.88200000001</v>
      </c>
      <c r="E21" s="115">
        <f>(SUM(E10+E12))</f>
        <v>160817.836</v>
      </c>
      <c r="F21" s="115">
        <f>(SUM(F10+F12+F14+F18))</f>
        <v>119113.46200000001</v>
      </c>
      <c r="G21" s="98">
        <f>SUM(G10:G17)</f>
        <v>0</v>
      </c>
      <c r="H21" s="98">
        <f>SUM(H10:H17)</f>
        <v>0</v>
      </c>
      <c r="I21" s="98">
        <f>SUM(I10:I17)</f>
        <v>0</v>
      </c>
      <c r="J21" s="98">
        <f>SUM(J10:J17)</f>
        <v>0</v>
      </c>
      <c r="K21" s="98">
        <f>SUM(K10:K17)</f>
        <v>0</v>
      </c>
      <c r="L21" s="27"/>
    </row>
    <row r="22" spans="1:12" ht="12.75">
      <c r="A22" s="110"/>
      <c r="B22" s="111" t="s">
        <v>101</v>
      </c>
      <c r="C22" s="107"/>
      <c r="D22" s="99">
        <f aca="true" t="shared" si="0" ref="D22:K22">D21/$C$20</f>
        <v>0.2710106880957402</v>
      </c>
      <c r="E22" s="99">
        <f t="shared" si="0"/>
        <v>0.4187973422234912</v>
      </c>
      <c r="F22" s="99">
        <f t="shared" si="0"/>
        <v>0.31019196968076856</v>
      </c>
      <c r="G22" s="100">
        <f t="shared" si="0"/>
        <v>0</v>
      </c>
      <c r="H22" s="100">
        <f t="shared" si="0"/>
        <v>0</v>
      </c>
      <c r="I22" s="100">
        <f t="shared" si="0"/>
        <v>0</v>
      </c>
      <c r="J22" s="100">
        <f t="shared" si="0"/>
        <v>0</v>
      </c>
      <c r="K22" s="100">
        <f t="shared" si="0"/>
        <v>0</v>
      </c>
      <c r="L22" s="27"/>
    </row>
    <row r="23" spans="1:12" ht="12.75">
      <c r="A23" s="110"/>
      <c r="B23" s="111" t="s">
        <v>102</v>
      </c>
      <c r="C23" s="107"/>
      <c r="D23" s="97">
        <f>D21</f>
        <v>104067.88200000001</v>
      </c>
      <c r="E23" s="97">
        <f>ROUND(D21+E21,2)</f>
        <v>264885.72</v>
      </c>
      <c r="F23" s="97">
        <f>ROUND(D21+E21+F21,2)</f>
        <v>383999.18</v>
      </c>
      <c r="G23" s="98">
        <f>D21+E21+F21+G21</f>
        <v>383999.18</v>
      </c>
      <c r="H23" s="98">
        <f>D21+E21+F21+G21+H21</f>
        <v>383999.18</v>
      </c>
      <c r="I23" s="98">
        <f>D21+E21+F21+G21+H21+I21</f>
        <v>383999.18</v>
      </c>
      <c r="J23" s="98">
        <f>D21+E21+F21+G21+H21+I21+J21</f>
        <v>383999.18</v>
      </c>
      <c r="K23" s="98">
        <f>D21+E21+F21+G21+H21+I21+J21+K21</f>
        <v>383999.18</v>
      </c>
      <c r="L23" s="27"/>
    </row>
    <row r="24" spans="1:11" ht="12.75">
      <c r="A24" s="110"/>
      <c r="B24" s="111" t="s">
        <v>103</v>
      </c>
      <c r="C24" s="107"/>
      <c r="D24" s="99">
        <f aca="true" t="shared" si="1" ref="D24:K24">D23/$C$20</f>
        <v>0.2710106880957402</v>
      </c>
      <c r="E24" s="101">
        <f t="shared" si="1"/>
        <v>0.6898080355275757</v>
      </c>
      <c r="F24" s="99">
        <f t="shared" si="1"/>
        <v>0.9999999999999999</v>
      </c>
      <c r="G24" s="100">
        <f t="shared" si="1"/>
        <v>0.9999999999999999</v>
      </c>
      <c r="H24" s="100">
        <f t="shared" si="1"/>
        <v>0.9999999999999999</v>
      </c>
      <c r="I24" s="100">
        <f t="shared" si="1"/>
        <v>0.9999999999999999</v>
      </c>
      <c r="J24" s="100">
        <f t="shared" si="1"/>
        <v>0.9999999999999999</v>
      </c>
      <c r="K24" s="100">
        <f t="shared" si="1"/>
        <v>0.9999999999999999</v>
      </c>
    </row>
    <row r="27" spans="4:11" ht="12.75" customHeight="1">
      <c r="D27" s="163">
        <f>'Planilha '!G46</f>
        <v>0</v>
      </c>
      <c r="E27" s="163"/>
      <c r="F27" s="163"/>
      <c r="G27" s="28"/>
      <c r="K27" s="28">
        <f>'Planilha '!I46</f>
        <v>0</v>
      </c>
    </row>
  </sheetData>
  <sheetProtection selectLockedCells="1" selectUnlockedCells="1"/>
  <mergeCells count="20">
    <mergeCell ref="A1:K1"/>
    <mergeCell ref="A2:K2"/>
    <mergeCell ref="A4:F4"/>
    <mergeCell ref="A5:F5"/>
    <mergeCell ref="A7:K7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A18:A19"/>
    <mergeCell ref="B18:B19"/>
    <mergeCell ref="C18:C19"/>
    <mergeCell ref="D27:F2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showGridLines="0" view="pageBreakPreview" zoomScale="95" zoomScaleSheetLayoutView="95" zoomScalePageLayoutView="0" workbookViewId="0" topLeftCell="A19">
      <selection activeCell="A1" sqref="A1:E2"/>
    </sheetView>
  </sheetViews>
  <sheetFormatPr defaultColWidth="9.140625" defaultRowHeight="12.75"/>
  <cols>
    <col min="1" max="1" width="32.421875" style="0" customWidth="1"/>
    <col min="2" max="3" width="23.421875" style="0" customWidth="1"/>
    <col min="4" max="4" width="22.7109375" style="0" customWidth="1"/>
    <col min="5" max="5" width="26.421875" style="0" customWidth="1"/>
  </cols>
  <sheetData>
    <row r="1" spans="1:5" ht="12.75">
      <c r="A1" s="180"/>
      <c r="B1" s="180"/>
      <c r="C1" s="180"/>
      <c r="D1" s="180"/>
      <c r="E1" s="180"/>
    </row>
    <row r="2" spans="1:5" ht="12.75">
      <c r="A2" s="180"/>
      <c r="B2" s="180"/>
      <c r="C2" s="180"/>
      <c r="D2" s="180"/>
      <c r="E2" s="180"/>
    </row>
    <row r="3" spans="1:5" ht="14.25">
      <c r="A3" s="29"/>
      <c r="B3" s="29"/>
      <c r="C3" s="29"/>
      <c r="D3" s="29"/>
      <c r="E3" s="29"/>
    </row>
    <row r="4" spans="1:5" ht="18">
      <c r="A4" s="181"/>
      <c r="B4" s="181"/>
      <c r="C4" s="181"/>
      <c r="D4" s="181"/>
      <c r="E4" s="181"/>
    </row>
    <row r="5" spans="1:5" ht="14.25">
      <c r="A5" s="29"/>
      <c r="B5" s="29"/>
      <c r="C5" s="29"/>
      <c r="D5" s="29"/>
      <c r="E5" s="29"/>
    </row>
    <row r="6" spans="1:5" ht="14.25">
      <c r="A6" s="29"/>
      <c r="B6" s="29"/>
      <c r="C6" s="29"/>
      <c r="D6" s="29"/>
      <c r="E6" s="29"/>
    </row>
    <row r="7" spans="1:5" ht="32.25" customHeight="1">
      <c r="A7" s="182" t="s">
        <v>87</v>
      </c>
      <c r="B7" s="182"/>
      <c r="C7" s="182"/>
      <c r="D7" s="182"/>
      <c r="E7" s="182"/>
    </row>
    <row r="8" spans="1:5" ht="15.75">
      <c r="A8" s="182" t="s">
        <v>88</v>
      </c>
      <c r="B8" s="182"/>
      <c r="C8" s="182"/>
      <c r="D8" s="182"/>
      <c r="E8" s="182"/>
    </row>
    <row r="9" spans="1:5" ht="12.75" customHeight="1">
      <c r="A9" s="183"/>
      <c r="B9" s="183"/>
      <c r="C9" s="183"/>
      <c r="D9" s="183"/>
      <c r="E9" s="183"/>
    </row>
    <row r="10" spans="1:5" ht="18" customHeight="1">
      <c r="A10" s="184" t="s">
        <v>104</v>
      </c>
      <c r="B10" s="184"/>
      <c r="C10" s="184"/>
      <c r="D10" s="184"/>
      <c r="E10" s="184"/>
    </row>
    <row r="11" spans="1:5" ht="9.75" customHeight="1">
      <c r="A11" s="30"/>
      <c r="B11" s="30"/>
      <c r="C11" s="30"/>
      <c r="D11" s="30"/>
      <c r="E11" s="30"/>
    </row>
    <row r="12" spans="1:5" ht="18.75" customHeight="1">
      <c r="A12" s="175" t="s">
        <v>105</v>
      </c>
      <c r="B12" s="175"/>
      <c r="C12" s="175"/>
      <c r="D12" s="175"/>
      <c r="E12" s="176"/>
    </row>
    <row r="13" spans="1:5" ht="18.75" customHeight="1">
      <c r="A13" s="132" t="s">
        <v>106</v>
      </c>
      <c r="B13" s="133" t="s">
        <v>107</v>
      </c>
      <c r="C13" s="133" t="s">
        <v>108</v>
      </c>
      <c r="D13" s="133" t="s">
        <v>109</v>
      </c>
      <c r="E13" s="176"/>
    </row>
    <row r="14" spans="1:5" ht="33" customHeight="1">
      <c r="A14" s="134" t="s">
        <v>110</v>
      </c>
      <c r="B14" s="135">
        <v>19.6</v>
      </c>
      <c r="C14" s="135">
        <v>20.97</v>
      </c>
      <c r="D14" s="135">
        <v>24.23</v>
      </c>
      <c r="E14" s="176"/>
    </row>
    <row r="15" spans="1:5" ht="34.5" customHeight="1">
      <c r="A15" s="177"/>
      <c r="B15" s="177"/>
      <c r="C15" s="177"/>
      <c r="D15" s="177"/>
      <c r="E15" s="31"/>
    </row>
    <row r="16" spans="1:5" ht="15" customHeight="1">
      <c r="A16" s="178" t="s">
        <v>9</v>
      </c>
      <c r="B16" s="179" t="s">
        <v>111</v>
      </c>
      <c r="C16" s="179"/>
      <c r="D16" s="179"/>
      <c r="E16" s="178" t="s">
        <v>112</v>
      </c>
    </row>
    <row r="17" spans="1:5" ht="15">
      <c r="A17" s="178"/>
      <c r="B17" s="127" t="s">
        <v>113</v>
      </c>
      <c r="C17" s="127" t="s">
        <v>114</v>
      </c>
      <c r="D17" s="127" t="s">
        <v>115</v>
      </c>
      <c r="E17" s="178"/>
    </row>
    <row r="18" spans="1:6" ht="14.25">
      <c r="A18" s="128" t="s">
        <v>116</v>
      </c>
      <c r="B18" s="129">
        <v>3.8</v>
      </c>
      <c r="C18" s="129">
        <v>4.01</v>
      </c>
      <c r="D18" s="129">
        <v>4.67</v>
      </c>
      <c r="E18" s="130">
        <v>4.15</v>
      </c>
      <c r="F18" s="31" t="str">
        <f aca="true" t="shared" si="0" ref="F18:F26">IF(E18=0," ",IF(E18&lt;B18,"ERRO",(IF(E18&gt;D18,"ERRO","OK!"))))</f>
        <v>OK!</v>
      </c>
    </row>
    <row r="19" spans="1:6" ht="14.25">
      <c r="A19" s="128" t="s">
        <v>117</v>
      </c>
      <c r="B19" s="129">
        <v>0.32</v>
      </c>
      <c r="C19" s="129">
        <v>0.4</v>
      </c>
      <c r="D19" s="129">
        <v>0.74</v>
      </c>
      <c r="E19" s="130">
        <v>0.5</v>
      </c>
      <c r="F19" s="31" t="str">
        <f t="shared" si="0"/>
        <v>OK!</v>
      </c>
    </row>
    <row r="20" spans="1:6" ht="14.25">
      <c r="A20" s="128" t="s">
        <v>118</v>
      </c>
      <c r="B20" s="129">
        <v>0.5</v>
      </c>
      <c r="C20" s="129">
        <v>0.56</v>
      </c>
      <c r="D20" s="129">
        <v>0.97</v>
      </c>
      <c r="E20" s="130">
        <v>0.6000000000000001</v>
      </c>
      <c r="F20" s="31" t="str">
        <f t="shared" si="0"/>
        <v>OK!</v>
      </c>
    </row>
    <row r="21" spans="1:6" ht="14.25">
      <c r="A21" s="128" t="s">
        <v>119</v>
      </c>
      <c r="B21" s="129">
        <v>1.02</v>
      </c>
      <c r="C21" s="129">
        <v>1.11</v>
      </c>
      <c r="D21" s="129">
        <v>1.21</v>
      </c>
      <c r="E21" s="130">
        <v>1.2</v>
      </c>
      <c r="F21" s="31" t="str">
        <f t="shared" si="0"/>
        <v>OK!</v>
      </c>
    </row>
    <row r="22" spans="1:6" ht="14.25">
      <c r="A22" s="128" t="s">
        <v>120</v>
      </c>
      <c r="B22" s="129">
        <v>6.64</v>
      </c>
      <c r="C22" s="129">
        <v>7.3</v>
      </c>
      <c r="D22" s="129">
        <v>8.69</v>
      </c>
      <c r="E22" s="130">
        <v>7.5</v>
      </c>
      <c r="F22" s="31" t="str">
        <f t="shared" si="0"/>
        <v>OK!</v>
      </c>
    </row>
    <row r="23" spans="1:6" ht="30">
      <c r="A23" s="131" t="s">
        <v>121</v>
      </c>
      <c r="B23" s="120">
        <f>SUM(B24:B26)</f>
        <v>5.15</v>
      </c>
      <c r="C23" s="120">
        <f>SUM(C24:C26)</f>
        <v>6.65</v>
      </c>
      <c r="D23" s="120">
        <f>SUM(D24:D26)</f>
        <v>8.65</v>
      </c>
      <c r="E23" s="120">
        <f>SUM(E24:E26)</f>
        <v>6.15</v>
      </c>
      <c r="F23" s="31" t="str">
        <f t="shared" si="0"/>
        <v>OK!</v>
      </c>
    </row>
    <row r="24" spans="1:6" ht="14.25">
      <c r="A24" s="128" t="s">
        <v>122</v>
      </c>
      <c r="B24" s="129">
        <v>3</v>
      </c>
      <c r="C24" s="129">
        <v>3</v>
      </c>
      <c r="D24" s="129">
        <v>3</v>
      </c>
      <c r="E24" s="130">
        <v>3</v>
      </c>
      <c r="F24" s="31" t="str">
        <f t="shared" si="0"/>
        <v>OK!</v>
      </c>
    </row>
    <row r="25" spans="1:6" ht="14.25">
      <c r="A25" s="128" t="s">
        <v>123</v>
      </c>
      <c r="B25" s="129">
        <v>0.65</v>
      </c>
      <c r="C25" s="129">
        <v>0.65</v>
      </c>
      <c r="D25" s="129">
        <v>0.65</v>
      </c>
      <c r="E25" s="130">
        <v>0.65</v>
      </c>
      <c r="F25" s="31" t="str">
        <f t="shared" si="0"/>
        <v>OK!</v>
      </c>
    </row>
    <row r="26" spans="1:6" ht="14.25">
      <c r="A26" s="128" t="s">
        <v>124</v>
      </c>
      <c r="B26" s="129">
        <v>1.5</v>
      </c>
      <c r="C26" s="129">
        <v>3</v>
      </c>
      <c r="D26" s="129">
        <v>5</v>
      </c>
      <c r="E26" s="130">
        <v>2.5</v>
      </c>
      <c r="F26" s="31" t="str">
        <f t="shared" si="0"/>
        <v>OK!</v>
      </c>
    </row>
    <row r="27" spans="1:6" ht="15">
      <c r="A27" s="131" t="s">
        <v>14</v>
      </c>
      <c r="B27" s="120"/>
      <c r="C27" s="120"/>
      <c r="D27" s="120"/>
      <c r="E27" s="120">
        <f>ROUND((((((1+E18/100+E19/100+E20/100)*(1+E21/100)*(1+E22/100))/(1-E23/100))-1)*100),2)</f>
        <v>22</v>
      </c>
      <c r="F27" s="31" t="str">
        <f>IF(E27=0," ",IF(E27&lt;B14,"ERRO",(IF(E27&gt;D14,"ERRO","OK!"))))</f>
        <v>OK!</v>
      </c>
    </row>
    <row r="28" spans="1:5" ht="14.25">
      <c r="A28" s="31"/>
      <c r="B28" s="31"/>
      <c r="C28" s="31"/>
      <c r="D28" s="31"/>
      <c r="E28" s="31"/>
    </row>
    <row r="29" spans="1:5" ht="14.25">
      <c r="A29" s="31" t="s">
        <v>125</v>
      </c>
      <c r="B29" s="31"/>
      <c r="C29" s="31"/>
      <c r="D29" s="31"/>
      <c r="E29" s="31"/>
    </row>
    <row r="30" spans="1:5" ht="9.75" customHeight="1">
      <c r="A30" s="31"/>
      <c r="B30" s="31"/>
      <c r="C30" s="31"/>
      <c r="D30" s="31"/>
      <c r="E30" s="31"/>
    </row>
    <row r="31" spans="1:5" ht="14.25" customHeight="1">
      <c r="A31" s="173" t="s">
        <v>126</v>
      </c>
      <c r="B31" s="173"/>
      <c r="C31" s="173"/>
      <c r="D31" s="173"/>
      <c r="E31" s="31"/>
    </row>
    <row r="32" spans="1:5" ht="14.25">
      <c r="A32" s="31"/>
      <c r="B32" s="31"/>
      <c r="C32" s="31"/>
      <c r="D32" s="31"/>
      <c r="E32" s="31"/>
    </row>
    <row r="33" spans="1:5" ht="14.25">
      <c r="A33" s="31"/>
      <c r="B33" s="31"/>
      <c r="C33" s="31"/>
      <c r="D33" s="31"/>
      <c r="E33" s="31"/>
    </row>
    <row r="34" spans="1:5" ht="14.25">
      <c r="A34" s="31"/>
      <c r="B34" s="31"/>
      <c r="C34" s="31"/>
      <c r="D34" s="31"/>
      <c r="E34" s="31"/>
    </row>
    <row r="35" spans="1:5" ht="14.25">
      <c r="A35" s="31"/>
      <c r="B35" s="31"/>
      <c r="C35" s="31"/>
      <c r="D35" s="31"/>
      <c r="E35" s="31"/>
    </row>
    <row r="36" spans="1:5" ht="14.25">
      <c r="A36" s="31"/>
      <c r="B36" s="31"/>
      <c r="C36" s="31"/>
      <c r="D36" s="31"/>
      <c r="E36" s="31"/>
    </row>
    <row r="37" spans="1:5" ht="14.25">
      <c r="A37" s="32" t="s">
        <v>127</v>
      </c>
      <c r="B37" s="31"/>
      <c r="C37" s="31"/>
      <c r="D37" s="31"/>
      <c r="E37" s="31"/>
    </row>
    <row r="38" spans="1:5" ht="12.75" customHeight="1">
      <c r="A38" s="174" t="s">
        <v>128</v>
      </c>
      <c r="B38" s="174"/>
      <c r="C38" s="174"/>
      <c r="D38" s="174"/>
      <c r="E38" s="31"/>
    </row>
    <row r="39" spans="1:5" ht="12.75" customHeight="1">
      <c r="A39" s="174" t="s">
        <v>129</v>
      </c>
      <c r="B39" s="174"/>
      <c r="C39" s="174"/>
      <c r="D39" s="174"/>
      <c r="E39" s="31"/>
    </row>
    <row r="40" spans="1:5" ht="12.75" customHeight="1">
      <c r="A40" s="174" t="s">
        <v>130</v>
      </c>
      <c r="B40" s="174"/>
      <c r="C40" s="174"/>
      <c r="D40" s="174"/>
      <c r="E40" s="31"/>
    </row>
    <row r="41" spans="1:5" ht="12.75" customHeight="1">
      <c r="A41" s="174" t="s">
        <v>131</v>
      </c>
      <c r="B41" s="174"/>
      <c r="C41" s="174"/>
      <c r="D41" s="174"/>
      <c r="E41" s="31"/>
    </row>
    <row r="42" spans="1:5" ht="12.75" customHeight="1">
      <c r="A42" s="174" t="s">
        <v>132</v>
      </c>
      <c r="B42" s="174"/>
      <c r="C42" s="174"/>
      <c r="D42" s="174"/>
      <c r="E42" s="31"/>
    </row>
    <row r="43" spans="1:5" ht="14.25">
      <c r="A43" s="33"/>
      <c r="B43" s="33"/>
      <c r="C43" s="33"/>
      <c r="D43" s="33"/>
      <c r="E43" s="31"/>
    </row>
    <row r="44" spans="1:5" ht="12.75">
      <c r="A44" s="34" t="s">
        <v>133</v>
      </c>
      <c r="B44" s="34"/>
      <c r="C44" s="34"/>
      <c r="D44" s="34"/>
      <c r="E44" s="34"/>
    </row>
    <row r="45" spans="1:5" ht="15" customHeight="1">
      <c r="A45" s="35" t="s">
        <v>134</v>
      </c>
      <c r="B45" s="36"/>
      <c r="C45" s="36"/>
      <c r="D45" s="36"/>
      <c r="E45" s="36"/>
    </row>
    <row r="46" spans="1:5" ht="18" customHeight="1">
      <c r="A46" s="35" t="s">
        <v>135</v>
      </c>
      <c r="B46" s="36"/>
      <c r="C46" s="36"/>
      <c r="D46" s="36"/>
      <c r="E46" s="36"/>
    </row>
    <row r="48" spans="1:4" ht="47.25" customHeight="1">
      <c r="A48" s="170" t="s">
        <v>136</v>
      </c>
      <c r="B48" s="170"/>
      <c r="C48" s="170"/>
      <c r="D48" s="170"/>
    </row>
    <row r="49" ht="6.75" customHeight="1">
      <c r="A49" s="37"/>
    </row>
    <row r="50" spans="1:4" ht="16.5" customHeight="1">
      <c r="A50" s="171" t="s">
        <v>137</v>
      </c>
      <c r="B50" s="171"/>
      <c r="C50" s="171"/>
      <c r="D50" s="171"/>
    </row>
    <row r="51" spans="1:4" ht="15.75">
      <c r="A51" s="123" t="s">
        <v>106</v>
      </c>
      <c r="B51" s="124" t="s">
        <v>107</v>
      </c>
      <c r="C51" s="124" t="s">
        <v>108</v>
      </c>
      <c r="D51" s="124" t="s">
        <v>109</v>
      </c>
    </row>
    <row r="52" spans="1:4" ht="30">
      <c r="A52" s="125" t="s">
        <v>110</v>
      </c>
      <c r="B52" s="126">
        <v>0.196</v>
      </c>
      <c r="C52" s="126">
        <v>0.2097</v>
      </c>
      <c r="D52" s="126">
        <v>0.2423</v>
      </c>
    </row>
    <row r="53" spans="1:4" ht="69" customHeight="1">
      <c r="A53" s="172" t="s">
        <v>138</v>
      </c>
      <c r="B53" s="172"/>
      <c r="C53" s="172"/>
      <c r="D53" s="172"/>
    </row>
    <row r="54" spans="1:4" ht="9" customHeight="1">
      <c r="A54" s="38"/>
      <c r="B54" s="39"/>
      <c r="C54" s="39"/>
      <c r="D54" s="39"/>
    </row>
    <row r="55" spans="1:4" ht="93.75" customHeight="1">
      <c r="A55" s="172" t="s">
        <v>139</v>
      </c>
      <c r="B55" s="172"/>
      <c r="C55" s="172"/>
      <c r="D55" s="172"/>
    </row>
    <row r="57" spans="1:5" ht="37.5" customHeight="1">
      <c r="A57" s="119" t="s">
        <v>140</v>
      </c>
      <c r="B57" s="120">
        <f>SUM(B24:B26)+4.5</f>
        <v>9.65</v>
      </c>
      <c r="C57" s="120">
        <f>SUM(C24:C26)+4.5</f>
        <v>11.15</v>
      </c>
      <c r="D57" s="120">
        <f>SUM(D24:D26)+4.5</f>
        <v>13.15</v>
      </c>
      <c r="E57" s="120">
        <f>IF(E23&gt;0,(SUM(E24:E26)+4.5),0)</f>
        <v>10.65</v>
      </c>
    </row>
    <row r="58" spans="1:5" ht="18">
      <c r="A58" s="121" t="s">
        <v>14</v>
      </c>
      <c r="B58" s="122"/>
      <c r="C58" s="122"/>
      <c r="D58" s="122"/>
      <c r="E58" s="122">
        <f>((((1+E18/100+E19/100+E20/100)*(1+E21/100)*(1+E22/100))/(1-E57/100))-1)*100</f>
        <v>28.149384443200876</v>
      </c>
    </row>
  </sheetData>
  <sheetProtection selectLockedCells="1" selectUnlockedCells="1"/>
  <mergeCells count="22">
    <mergeCell ref="A1:E2"/>
    <mergeCell ref="A4:E4"/>
    <mergeCell ref="A7:E7"/>
    <mergeCell ref="A8:E8"/>
    <mergeCell ref="A9:E9"/>
    <mergeCell ref="A10:E10"/>
    <mergeCell ref="A12:D12"/>
    <mergeCell ref="E12:E14"/>
    <mergeCell ref="A15:D15"/>
    <mergeCell ref="A16:A17"/>
    <mergeCell ref="B16:D16"/>
    <mergeCell ref="E16:E17"/>
    <mergeCell ref="A48:D48"/>
    <mergeCell ref="A50:D50"/>
    <mergeCell ref="A53:D53"/>
    <mergeCell ref="A55:D55"/>
    <mergeCell ref="A31:D31"/>
    <mergeCell ref="A38:D38"/>
    <mergeCell ref="A39:D39"/>
    <mergeCell ref="A40:D40"/>
    <mergeCell ref="A41:D41"/>
    <mergeCell ref="A42:D42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Santos</dc:creator>
  <cp:keywords/>
  <dc:description/>
  <cp:lastModifiedBy>Paula Santos</cp:lastModifiedBy>
  <cp:lastPrinted>2022-12-29T19:22:01Z</cp:lastPrinted>
  <dcterms:created xsi:type="dcterms:W3CDTF">2022-12-08T12:39:27Z</dcterms:created>
  <dcterms:modified xsi:type="dcterms:W3CDTF">2022-12-29T20:13:17Z</dcterms:modified>
  <cp:category/>
  <cp:version/>
  <cp:contentType/>
  <cp:contentStatus/>
</cp:coreProperties>
</file>